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cwilson\Desktop\"/>
    </mc:Choice>
  </mc:AlternateContent>
  <xr:revisionPtr revIDLastSave="0" documentId="13_ncr:1_{F780EA8D-669B-4B08-ABE3-549D353E7FDA}" xr6:coauthVersionLast="47" xr6:coauthVersionMax="47" xr10:uidLastSave="{00000000-0000-0000-0000-000000000000}"/>
  <bookViews>
    <workbookView xWindow="-110" yWindow="-110" windowWidth="25820" windowHeight="14020" xr2:uid="{00000000-000D-0000-FFFF-FFFF00000000}"/>
  </bookViews>
  <sheets>
    <sheet name="Summary" sheetId="1" r:id="rId1"/>
    <sheet name="Disclosure" sheetId="2" r:id="rId2"/>
  </sheets>
  <definedNames>
    <definedName name="_xlnm.Print_Area" localSheetId="0">Summary!$A$1:$H$407</definedName>
    <definedName name="_xlnm.Print_Titles" localSheetId="1">Disclosure!$1:$7</definedName>
    <definedName name="_xlnm.Print_Titles" localSheetId="0">Summary!$6:$9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3" i="1" l="1"/>
  <c r="H361" i="1"/>
  <c r="E279" i="1" l="1"/>
  <c r="E274" i="1"/>
  <c r="E233" i="1"/>
  <c r="E228" i="1"/>
  <c r="E223" i="1"/>
  <c r="E184" i="1"/>
  <c r="H175" i="1"/>
  <c r="E174" i="1"/>
  <c r="E303" i="1"/>
  <c r="E252" i="1"/>
  <c r="H272" i="1"/>
  <c r="H221" i="1"/>
  <c r="H172" i="1"/>
  <c r="H76" i="1" l="1"/>
  <c r="H13" i="1"/>
  <c r="G54" i="2"/>
  <c r="G21" i="2"/>
  <c r="H77" i="1" l="1"/>
  <c r="B124" i="2"/>
  <c r="B159" i="2" l="1"/>
  <c r="H202" i="1"/>
  <c r="H203" i="1"/>
  <c r="H204" i="1"/>
  <c r="H201" i="1"/>
  <c r="H251" i="1"/>
  <c r="H252" i="1"/>
  <c r="H303" i="1" s="1"/>
  <c r="H253" i="1"/>
  <c r="H250" i="1"/>
  <c r="E301" i="1" s="1"/>
  <c r="H301" i="1" s="1"/>
  <c r="H302" i="1"/>
  <c r="H156" i="1"/>
  <c r="G196" i="1"/>
  <c r="E196" i="1"/>
  <c r="H196" i="1" s="1"/>
  <c r="G56" i="2"/>
  <c r="G26" i="2"/>
  <c r="A403" i="1"/>
  <c r="C157" i="2" s="1"/>
  <c r="A404" i="1"/>
  <c r="H222" i="1"/>
  <c r="H223" i="1"/>
  <c r="H228" i="1"/>
  <c r="H230" i="1"/>
  <c r="H231" i="1"/>
  <c r="H232" i="1"/>
  <c r="H233" i="1"/>
  <c r="H238" i="1"/>
  <c r="H239" i="1"/>
  <c r="H244" i="1"/>
  <c r="H179" i="1"/>
  <c r="H181" i="1"/>
  <c r="H182" i="1"/>
  <c r="H183" i="1"/>
  <c r="H184" i="1"/>
  <c r="H189" i="1"/>
  <c r="H190" i="1"/>
  <c r="H191" i="1"/>
  <c r="H194" i="1"/>
  <c r="H195" i="1"/>
  <c r="H199" i="1"/>
  <c r="H174" i="1"/>
  <c r="H173" i="1"/>
  <c r="A144" i="2"/>
  <c r="G102" i="1"/>
  <c r="H118" i="1" s="1"/>
  <c r="G38" i="2" s="1"/>
  <c r="G152" i="2"/>
  <c r="G150" i="2"/>
  <c r="G161" i="2"/>
  <c r="B108" i="2"/>
  <c r="B133" i="2"/>
  <c r="G58" i="2"/>
  <c r="H295" i="1"/>
  <c r="H283" i="1"/>
  <c r="H279" i="1"/>
  <c r="H281" i="1"/>
  <c r="H282" i="1"/>
  <c r="H284" i="1"/>
  <c r="H290" i="1"/>
  <c r="H274" i="1"/>
  <c r="H273" i="1"/>
  <c r="H289" i="1"/>
  <c r="G275" i="1"/>
  <c r="G285" i="1"/>
  <c r="G305" i="1" s="1"/>
  <c r="F275" i="1"/>
  <c r="E275" i="1"/>
  <c r="F224" i="1"/>
  <c r="G224" i="1"/>
  <c r="G234" i="1"/>
  <c r="G254" i="1" s="1"/>
  <c r="E224" i="1"/>
  <c r="F175" i="1"/>
  <c r="G175" i="1"/>
  <c r="G185" i="1"/>
  <c r="G205" i="1" s="1"/>
  <c r="E175" i="1"/>
  <c r="G97" i="2"/>
  <c r="E26" i="2"/>
  <c r="G62" i="1"/>
  <c r="G52" i="2" s="1"/>
  <c r="G46" i="2"/>
  <c r="B117" i="2"/>
  <c r="G110" i="1"/>
  <c r="G64" i="2" s="1"/>
  <c r="G103" i="1"/>
  <c r="G62" i="2" s="1"/>
  <c r="H366" i="1"/>
  <c r="H369" i="1" s="1"/>
  <c r="H371" i="1"/>
  <c r="G109" i="1"/>
  <c r="H83" i="1"/>
  <c r="H93" i="1"/>
  <c r="G93" i="1"/>
  <c r="G76" i="2"/>
  <c r="G25" i="2"/>
  <c r="C19" i="2"/>
  <c r="C6" i="2"/>
  <c r="G45" i="2"/>
  <c r="G49" i="2"/>
  <c r="G24" i="2"/>
  <c r="H47" i="1"/>
  <c r="H84" i="1" l="1"/>
  <c r="F180" i="1"/>
  <c r="E180" i="1" s="1"/>
  <c r="E229" i="1" s="1"/>
  <c r="E280" i="1" s="1"/>
  <c r="H304" i="1"/>
  <c r="H224" i="1"/>
  <c r="H275" i="1"/>
  <c r="G287" i="1"/>
  <c r="G292" i="1" s="1"/>
  <c r="G298" i="1" s="1"/>
  <c r="G306" i="1" s="1"/>
  <c r="G236" i="1"/>
  <c r="G241" i="1" s="1"/>
  <c r="G247" i="1" s="1"/>
  <c r="G255" i="1" s="1"/>
  <c r="G187" i="1"/>
  <c r="G192" i="1" s="1"/>
  <c r="G198" i="1" s="1"/>
  <c r="G206" i="1" s="1"/>
  <c r="H48" i="1"/>
  <c r="F178" i="1"/>
  <c r="E178" i="1" s="1"/>
  <c r="H375" i="1"/>
  <c r="H111" i="1"/>
  <c r="G32" i="2" s="1"/>
  <c r="G66" i="2"/>
  <c r="H104" i="1"/>
  <c r="G30" i="2" s="1"/>
  <c r="E227" i="1" l="1"/>
  <c r="E185" i="1"/>
  <c r="F229" i="1"/>
  <c r="H180" i="1"/>
  <c r="F227" i="1"/>
  <c r="F185" i="1"/>
  <c r="H178" i="1"/>
  <c r="H114" i="1"/>
  <c r="E205" i="1" l="1"/>
  <c r="E187" i="1"/>
  <c r="E192" i="1" s="1"/>
  <c r="E198" i="1" s="1"/>
  <c r="E206" i="1" s="1"/>
  <c r="E207" i="1" s="1"/>
  <c r="E278" i="1"/>
  <c r="E285" i="1" s="1"/>
  <c r="E234" i="1"/>
  <c r="F280" i="1"/>
  <c r="H280" i="1" s="1"/>
  <c r="H229" i="1"/>
  <c r="F187" i="1"/>
  <c r="F205" i="1"/>
  <c r="H185" i="1"/>
  <c r="H205" i="1" s="1"/>
  <c r="F278" i="1"/>
  <c r="F234" i="1"/>
  <c r="H227" i="1"/>
  <c r="G34" i="2"/>
  <c r="H116" i="1"/>
  <c r="E254" i="1" l="1"/>
  <c r="E236" i="1"/>
  <c r="E241" i="1" s="1"/>
  <c r="E305" i="1"/>
  <c r="E287" i="1"/>
  <c r="E292" i="1" s="1"/>
  <c r="G86" i="2"/>
  <c r="G151" i="1"/>
  <c r="H234" i="1"/>
  <c r="H254" i="1" s="1"/>
  <c r="F192" i="1"/>
  <c r="H187" i="1"/>
  <c r="F254" i="1"/>
  <c r="F236" i="1"/>
  <c r="F241" i="1" s="1"/>
  <c r="F247" i="1" s="1"/>
  <c r="F285" i="1"/>
  <c r="H278" i="1"/>
  <c r="H285" i="1" s="1"/>
  <c r="E209" i="1"/>
  <c r="E208" i="1"/>
  <c r="G36" i="2"/>
  <c r="H377" i="1"/>
  <c r="G153" i="1" l="1"/>
  <c r="G78" i="2" s="1"/>
  <c r="G73" i="2"/>
  <c r="F255" i="1"/>
  <c r="H236" i="1"/>
  <c r="H241" i="1" s="1"/>
  <c r="F198" i="1"/>
  <c r="H192" i="1"/>
  <c r="H305" i="1"/>
  <c r="H287" i="1"/>
  <c r="H292" i="1" s="1"/>
  <c r="F305" i="1"/>
  <c r="F287" i="1"/>
  <c r="F292" i="1" s="1"/>
  <c r="F298" i="1" s="1"/>
  <c r="F306" i="1" l="1"/>
  <c r="H198" i="1"/>
  <c r="F206" i="1"/>
  <c r="H206" i="1" s="1"/>
  <c r="H207" i="1" s="1"/>
  <c r="G207" i="1" s="1"/>
  <c r="H208" i="1" l="1"/>
  <c r="H209" i="1"/>
  <c r="F209" i="1" s="1"/>
  <c r="G89" i="2"/>
  <c r="G91" i="2" s="1"/>
  <c r="G101" i="2" s="1"/>
  <c r="H243" i="1"/>
  <c r="H245" i="1" s="1"/>
  <c r="H247" i="1" s="1"/>
  <c r="E243" i="1"/>
  <c r="E245" i="1" s="1"/>
  <c r="E247" i="1" s="1"/>
  <c r="I205" i="1"/>
  <c r="E294" i="1" l="1"/>
  <c r="E296" i="1" s="1"/>
  <c r="E298" i="1" s="1"/>
  <c r="I254" i="1"/>
  <c r="H294" i="1"/>
  <c r="H296" i="1" s="1"/>
  <c r="H298" i="1" s="1"/>
  <c r="E255" i="1"/>
  <c r="E258" i="1" s="1"/>
  <c r="G105" i="2"/>
  <c r="G103" i="2"/>
  <c r="I305" i="1" l="1"/>
  <c r="E257" i="1"/>
  <c r="H255" i="1"/>
  <c r="E256" i="1"/>
  <c r="E306" i="1"/>
  <c r="E309" i="1" l="1"/>
  <c r="H306" i="1"/>
  <c r="E308" i="1"/>
  <c r="E307" i="1"/>
  <c r="H256" i="1"/>
  <c r="G256" i="1" s="1"/>
  <c r="H258" i="1"/>
  <c r="F258" i="1" s="1"/>
  <c r="H257" i="1"/>
  <c r="H307" i="1" l="1"/>
  <c r="G307" i="1" s="1"/>
  <c r="H309" i="1"/>
  <c r="F309" i="1" s="1"/>
  <c r="H308" i="1"/>
</calcChain>
</file>

<file path=xl/sharedStrings.xml><?xml version="1.0" encoding="utf-8"?>
<sst xmlns="http://schemas.openxmlformats.org/spreadsheetml/2006/main" count="445" uniqueCount="317">
  <si>
    <t xml:space="preserve">with the </t>
  </si>
  <si>
    <t>OF PROPOSED COLLECTIVE BARGAINING AGREEMENT</t>
  </si>
  <si>
    <t xml:space="preserve">(AB1200 (Statutes of 1991, Chapter 1213) as revised by AB 2756 </t>
  </si>
  <si>
    <t>per employee</t>
  </si>
  <si>
    <t>Section 4:</t>
  </si>
  <si>
    <t>Section 3:</t>
  </si>
  <si>
    <t>Current Costs:</t>
  </si>
  <si>
    <t>Proposed Costs:</t>
  </si>
  <si>
    <t>Section 6:</t>
  </si>
  <si>
    <t>Salaries</t>
  </si>
  <si>
    <t>Benefits</t>
  </si>
  <si>
    <t>Total:</t>
  </si>
  <si>
    <t>(Includes annual step/column movement on schedule):</t>
  </si>
  <si>
    <t>Step &amp; column</t>
  </si>
  <si>
    <t>AVERAGE REPRESENTED EMPLOYEE</t>
  </si>
  <si>
    <t>(STRS, PERS, Workers Compensation, Unemployment Insurance, Social Security, Medicare)</t>
  </si>
  <si>
    <t>Section 13:</t>
  </si>
  <si>
    <t>Estimated</t>
  </si>
  <si>
    <t xml:space="preserve">SCHOOL DISTRICT </t>
  </si>
  <si>
    <t xml:space="preserve">BARGAINING UNIT </t>
  </si>
  <si>
    <t xml:space="preserve">To be acted upon by the Governing Board at its meeting on </t>
  </si>
  <si>
    <t xml:space="preserve">FORM FOR PUBLIC DISCLOSURE </t>
  </si>
  <si>
    <t>A.</t>
  </si>
  <si>
    <t>The proposed bargaining agreement covers the period beginning</t>
  </si>
  <si>
    <t>and ending</t>
  </si>
  <si>
    <t xml:space="preserve">for the following fiscal years </t>
  </si>
  <si>
    <t xml:space="preserve">If this agreement is part of a multi-year contract, indicate ALL fiscal years covered: </t>
  </si>
  <si>
    <t>Section 2:</t>
  </si>
  <si>
    <t xml:space="preserve">PERIOD OF AGREEMENT </t>
  </si>
  <si>
    <t>B.</t>
  </si>
  <si>
    <t>C.</t>
  </si>
  <si>
    <t>D.</t>
  </si>
  <si>
    <t>E.</t>
  </si>
  <si>
    <t xml:space="preserve">IMPACT OF PROPOSED AGREEMENT ON DISTRICT RESERVES </t>
  </si>
  <si>
    <t>in the General Fund of:</t>
  </si>
  <si>
    <t xml:space="preserve">SOURCE OF FUNDING FOR PROPOSED AGREEMENT </t>
  </si>
  <si>
    <t>Section 10:</t>
  </si>
  <si>
    <t>Section 11:</t>
  </si>
  <si>
    <t>G.</t>
  </si>
  <si>
    <t>F.</t>
  </si>
  <si>
    <t xml:space="preserve">Intent of Legislation: To ensure that members of the public are informed of the major provisions of a collective bargaining agreement before it becomes binding on the school district. </t>
  </si>
  <si>
    <t>PERIOD OF AGREEMENT:</t>
  </si>
  <si>
    <t xml:space="preserve">State-Recommended Minimum Reserve Level (after implementation of Proposed Agreement) </t>
  </si>
  <si>
    <t>SUMMARY OF PROPOSED AGREEMENT</t>
  </si>
  <si>
    <t xml:space="preserve"> BETWEEN THE</t>
  </si>
  <si>
    <t>SCHOOL DISTRICT</t>
  </si>
  <si>
    <t xml:space="preserve"> WITH THE</t>
  </si>
  <si>
    <t>GENERAL</t>
  </si>
  <si>
    <t>Section 1:</t>
  </si>
  <si>
    <t xml:space="preserve">STATUS OF BARGAINING UNIT AGREEMENTS </t>
  </si>
  <si>
    <t>Certificated:</t>
  </si>
  <si>
    <t>Fiscal Years:</t>
  </si>
  <si>
    <t>COMPENSATION PROVISIONS</t>
  </si>
  <si>
    <t xml:space="preserve">status (whether settled or pending settlement) of the remaining units: </t>
  </si>
  <si>
    <t xml:space="preserve"> </t>
  </si>
  <si>
    <t>OTHER PROVISIONS (COMPENSATION AND NON-COMPENSATION)</t>
  </si>
  <si>
    <t>Section 5:</t>
  </si>
  <si>
    <t>The following source(s) of funding have been identified to fund the proposed agreement</t>
  </si>
  <si>
    <t>Section 12:</t>
  </si>
  <si>
    <t>CERTIFICATION</t>
  </si>
  <si>
    <t>(signature)</t>
  </si>
  <si>
    <t>Date</t>
  </si>
  <si>
    <t>President, Governing Board</t>
  </si>
  <si>
    <t>If this Public Disclosure is not applicable to all of the District's bargaining units, indicate the current</t>
  </si>
  <si>
    <t>1.</t>
  </si>
  <si>
    <t>2.</t>
  </si>
  <si>
    <t>3.</t>
  </si>
  <si>
    <t>4.</t>
  </si>
  <si>
    <t>5.</t>
  </si>
  <si>
    <t>Step &amp; Column</t>
  </si>
  <si>
    <t>Cost of Benefits Before Agreement</t>
  </si>
  <si>
    <t>Cost of Benefits After Agreement</t>
  </si>
  <si>
    <t xml:space="preserve">Percentage Reserve Level </t>
  </si>
  <si>
    <t>6.</t>
  </si>
  <si>
    <t>7.</t>
  </si>
  <si>
    <t>8.</t>
  </si>
  <si>
    <t>9.</t>
  </si>
  <si>
    <t>General Fund &amp; Special Reserve Fund:</t>
  </si>
  <si>
    <t>(8010-8099)</t>
  </si>
  <si>
    <t xml:space="preserve">  Remaining Revenues</t>
  </si>
  <si>
    <t>(8100-8799)</t>
  </si>
  <si>
    <t>TOTAL</t>
  </si>
  <si>
    <t>OPERATING SURPLUS (DEFICIT)</t>
  </si>
  <si>
    <t>NET BEGINNING BALANCE</t>
  </si>
  <si>
    <t>(Col. 1)</t>
  </si>
  <si>
    <t>(Col. 2)</t>
  </si>
  <si>
    <t>(Col. 3)</t>
  </si>
  <si>
    <t>(Col. 4)</t>
  </si>
  <si>
    <t>OPERATING EXPENDITURES</t>
  </si>
  <si>
    <t xml:space="preserve">  1000 Certificated Salaries</t>
  </si>
  <si>
    <t xml:space="preserve">  2000 Classified Salaries</t>
  </si>
  <si>
    <t xml:space="preserve">  3000 Benefits</t>
  </si>
  <si>
    <t xml:space="preserve">  4000 Instructional Supplies</t>
  </si>
  <si>
    <t xml:space="preserve">  5000 Contracted Services</t>
  </si>
  <si>
    <t xml:space="preserve">  6000 Capital Outlay</t>
  </si>
  <si>
    <t xml:space="preserve">  7000 Other</t>
  </si>
  <si>
    <t xml:space="preserve">  Other Sources and Transfers In</t>
  </si>
  <si>
    <t xml:space="preserve">  Other Uses and Transfers Out</t>
  </si>
  <si>
    <t>Percentage of General Fund Expenditures/Uses</t>
  </si>
  <si>
    <t>GENERAL FUND RESERVES  (Fund 01 Unrestricted ONLY)</t>
  </si>
  <si>
    <t>Difference between District Reserves and Minimum State Requirement</t>
  </si>
  <si>
    <t>Section 9:</t>
  </si>
  <si>
    <t xml:space="preserve">#  FTE Represented </t>
  </si>
  <si>
    <t>Section 8:</t>
  </si>
  <si>
    <t>H.</t>
  </si>
  <si>
    <t>NARRATIVE OF AGREEMENT</t>
  </si>
  <si>
    <t xml:space="preserve">To be signed by the District Superintendent AND Chief Business Official when submitted for Public Disclosure and by the Board President after formal action by the Governing Board on the proposed agreement. </t>
  </si>
  <si>
    <t xml:space="preserve">To be acted upon by the Governing Board at its meeting on : </t>
  </si>
  <si>
    <t xml:space="preserve"> (enter Date)</t>
  </si>
  <si>
    <t>The proposed agreement covers the period beginning on:</t>
  </si>
  <si>
    <t>and ending on:</t>
  </si>
  <si>
    <t>(enter Begin Date)</t>
  </si>
  <si>
    <t>(enter End Date)</t>
  </si>
  <si>
    <t>Date of governing board approval of budget revisions in Section 9, Col.2  (below)</t>
  </si>
  <si>
    <t>Section 14:</t>
  </si>
  <si>
    <t>I.</t>
  </si>
  <si>
    <t>Current Cap:</t>
  </si>
  <si>
    <t>Proposed Cap:</t>
  </si>
  <si>
    <t>ADDITIONAL FISCAL INDICATORS- CRITERIA AND STANDARDS A.5.</t>
  </si>
  <si>
    <t>(REGARDLESS OF WHETHER  PREVIOUSLY BUDGETED IN WHOLE OR IN PART)</t>
  </si>
  <si>
    <t>Please NOTE:  The title reflected in Col. 1 can be modified if the agreement is being approved along with the Adopted Budget Process.  In this case, Col. 4 should reflect the Adopted Budget including the salary agreement and Col. 1 would reflect the Adopted Budget less Col. 2, the actual cost of the agreement.</t>
  </si>
  <si>
    <t>(This amount should tie to the multiyear projection sections for 1XXX-3XXX)</t>
  </si>
  <si>
    <r>
      <t>Minimum State Reserve Percentage</t>
    </r>
    <r>
      <rPr>
        <b/>
        <sz val="10"/>
        <rFont val="Arial"/>
        <family val="2"/>
      </rPr>
      <t xml:space="preserve"> (input %)</t>
    </r>
  </si>
  <si>
    <t>(This information is pulled from the SUMMARY section of this file which should be completed FIRST)</t>
  </si>
  <si>
    <t>MULTIYEAR CONTRACT AGREEMENT PROVISIONS</t>
  </si>
  <si>
    <t>BARGAINING UNIT (BU)</t>
  </si>
  <si>
    <t>Total Cost Increase or (Decrease):</t>
  </si>
  <si>
    <t>Percentage Increase or (Decrease):</t>
  </si>
  <si>
    <t>Salary Increase or (Decrease)</t>
  </si>
  <si>
    <t>% increase or (decrease) to existing schedule</t>
  </si>
  <si>
    <t>TOTAL PERCENTAGE CHANGE FOR</t>
  </si>
  <si>
    <t>SALARIES: PERCENTAGE CHANGE IN SALARIES IN PROPOSED AGREEMENT:</t>
  </si>
  <si>
    <t>The proposed agreement includes the following costs for employee statutory and health/welfare benefits:</t>
  </si>
  <si>
    <t>Total Statutory Benefit Costs:</t>
  </si>
  <si>
    <t>Total Cost Increase or (decrease):</t>
  </si>
  <si>
    <t>Percentage Change:</t>
  </si>
  <si>
    <t>(Based on Year to Date (YTD) Actuals Projected through 6/30):</t>
  </si>
  <si>
    <t>(Include any retroactive pay increases or (decreases) or one time bonuses/stipends or (reductions), as applicable):</t>
  </si>
  <si>
    <t>Total Health and Welfare Costs:</t>
  </si>
  <si>
    <t xml:space="preserve">TOTAL COST OR (SAVINGS) OF COMPENSATION CHANGES </t>
  </si>
  <si>
    <r>
      <t xml:space="preserve">Current Year Combined Cost Before Settlement: </t>
    </r>
    <r>
      <rPr>
        <i/>
        <sz val="10"/>
        <rFont val="Arial"/>
        <family val="2"/>
      </rPr>
      <t>(data pulls from above)</t>
    </r>
  </si>
  <si>
    <r>
      <t>Current Year Cost After Settlement:</t>
    </r>
    <r>
      <rPr>
        <i/>
        <sz val="10"/>
        <rFont val="Arial"/>
        <family val="2"/>
      </rPr>
      <t xml:space="preserve"> (data pulls from above)</t>
    </r>
  </si>
  <si>
    <t>TOTAL COST INCREASE OR (DECREASE)</t>
  </si>
  <si>
    <t>PERCENTAGE CHANGE</t>
  </si>
  <si>
    <t>Section 7:  State Minimum Reserve Standard Calculation:</t>
  </si>
  <si>
    <r>
      <t xml:space="preserve">Total Expenditures and Other Uses: </t>
    </r>
    <r>
      <rPr>
        <b/>
        <i/>
        <sz val="10"/>
        <rFont val="Arial"/>
        <family val="2"/>
      </rPr>
      <t>(pulls from MYP Sec. 9)</t>
    </r>
  </si>
  <si>
    <t>provide a detailed explanation of differences.</t>
  </si>
  <si>
    <t>If the board-approved revisions input are different from the proposed budget adjustments in Col. 2</t>
  </si>
  <si>
    <t>Nonspendable (9711-9719)</t>
  </si>
  <si>
    <t>Restricted (9740)</t>
  </si>
  <si>
    <t>Committed (9750/9760)</t>
  </si>
  <si>
    <t>Assigned (9780)</t>
  </si>
  <si>
    <t>Reserve Economic Uncertainties (9789)</t>
  </si>
  <si>
    <t>Unassigned/Unappropriated (9790)</t>
  </si>
  <si>
    <t>ENDING FUND BALANCE (EFB)</t>
  </si>
  <si>
    <t>COMPONENTS OF ABOVE EFB:</t>
  </si>
  <si>
    <t>State Minimum Reserves %</t>
  </si>
  <si>
    <t>Prior-Year Adjustments (9792-9795)</t>
  </si>
  <si>
    <t xml:space="preserve">Are budgets in balance? </t>
  </si>
  <si>
    <t>Did you adjust reserves? s/b $0</t>
  </si>
  <si>
    <t>ADA Increase/(Decrease) from Prior Year as %</t>
  </si>
  <si>
    <t>= Amount of Current-Year Increase or (decrease):</t>
  </si>
  <si>
    <t>Indicate Total Settlement Percentage Change from Section 5</t>
  </si>
  <si>
    <r>
      <t xml:space="preserve">Budget Revisions to be INPUT no later than 45 days after approval: </t>
    </r>
    <r>
      <rPr>
        <b/>
        <i/>
        <sz val="10"/>
        <rFont val="Arial"/>
        <family val="2"/>
      </rPr>
      <t>(will calc + 45 days)</t>
    </r>
  </si>
  <si>
    <t>Bargaining Unit.</t>
  </si>
  <si>
    <t xml:space="preserve">TOTAL COST CHANGE TO IMPLEMENT PROPOSED AGREEMENT (SALARIES &amp; BENEFITS) </t>
  </si>
  <si>
    <t>The total change in costs for salaries and employee benefits in the proposed agreement:</t>
  </si>
  <si>
    <t>Total Cost Change</t>
  </si>
  <si>
    <t>Percentage Change</t>
  </si>
  <si>
    <t>Salary Schedule change</t>
  </si>
  <si>
    <t>(% Change To Existing Salary Schedule)</t>
  </si>
  <si>
    <t>TOTAL PERCENTAGE CHANGE FOR THE</t>
  </si>
  <si>
    <t>Percentage Change in Total Costs</t>
  </si>
  <si>
    <t>Based On Total Expenditures and Other Uses</t>
  </si>
  <si>
    <t>State Standard for District:</t>
  </si>
  <si>
    <t>Amount of State Minimum Reserve Standard:</t>
  </si>
  <si>
    <t xml:space="preserve">SUFFICIENCY OF DISTRICT UNRESTRICTED RESERVES to meet the minimum recommended level AFTER IMPLEMENTATION OF PROPOSED AGREEMENT: </t>
  </si>
  <si>
    <t xml:space="preserve">Reserve for Economic </t>
  </si>
  <si>
    <t>Uncertainties (Object 9789)</t>
  </si>
  <si>
    <t xml:space="preserve">(Object 9790) </t>
  </si>
  <si>
    <t xml:space="preserve">Unassigned/Unappropriated </t>
  </si>
  <si>
    <t>Reserve for Economic Uncertainties</t>
  </si>
  <si>
    <t xml:space="preserve">(Object 9789) </t>
  </si>
  <si>
    <t>TOTAL DISTRICT RESERVES, applicable to State Minimum Reserve Standard:</t>
  </si>
  <si>
    <t>SPECIAL RESERVE FUND  (Fund 17, as applicable)</t>
  </si>
  <si>
    <t>Total Reserves:  (Object 9789 + 9790)</t>
  </si>
  <si>
    <t>The following assumptions were used to determine that resources will be available to fund these obligations in future fiscal years (including any compensation and/or noncompensation provisions specified below that have been agreed upon if the proposed agreement is part of a multi-year contract):</t>
  </si>
  <si>
    <t xml:space="preserve">After public disclosure of the major provisions contained in this Summary, the Governing Board, at its </t>
  </si>
  <si>
    <t>meeting on</t>
  </si>
  <si>
    <t xml:space="preserve">took action to approve the proposed Agreement </t>
  </si>
  <si>
    <t>BENEFITS: PERCENTAGE CHANGE IN EMPLOYEE BENEFITS IN PROPOSED AGREEMENT:</t>
  </si>
  <si>
    <t>1% CHANGE IN SALARY AND STATUTORY BENEFIT COSTS (prior to any settlements):</t>
  </si>
  <si>
    <t>FISCAL IMPACT IN CURRENT  AND TWO SUBSEQUENT FISCAL YEARS</t>
  </si>
  <si>
    <t xml:space="preserve">FINANCIAL IMPACT OF PROPOSED AGREEMENT IN SUBSEQUENT FISCAL YEARS </t>
  </si>
  <si>
    <t xml:space="preserve">  LCFF Sources</t>
  </si>
  <si>
    <t>= Percentage Increase or (decrease) in LCFF per ADA:</t>
  </si>
  <si>
    <t>Total LCFF % increase or (decrease) plus ADA % change</t>
  </si>
  <si>
    <t>District Superintendent - signature</t>
  </si>
  <si>
    <t>Chief Business Official- signature</t>
  </si>
  <si>
    <t>BEGINNING FUND BALANCE 9791-92</t>
  </si>
  <si>
    <t>Prior-Year Adjustments 9793-95</t>
  </si>
  <si>
    <t>FUND 17 RESERVES (9789) or N/A</t>
  </si>
  <si>
    <t xml:space="preserve">(Statutes of 2004, Chapter 25), Government Code 3547.5 &amp; 3540.2 ) </t>
  </si>
  <si>
    <t>(% change for one time bonus/stipend or salary reduction)</t>
  </si>
  <si>
    <t>Total # of Instructional Days to be provided in Fiscal Year (applicable to Certificated BU agreements only)</t>
  </si>
  <si>
    <t>We hereby certify that the costs incurred by the school district under this agreement can be met by the district during the term of the agreement.</t>
  </si>
  <si>
    <t>After public disclosure of the major provisions contained in this Summary, the Governing Board, at its meeting on</t>
  </si>
  <si>
    <t>(CY LCFF Entitlement per ADA, FCMAT LCFF Calculator, Calculator Tab, Row 79)</t>
  </si>
  <si>
    <t>(PY LCFF Entitlement per ADA, FCMAT LCFF Calculator, Calculator Tab, Row 79)</t>
  </si>
  <si>
    <t xml:space="preserve">Classified: </t>
  </si>
  <si>
    <t>Reopeners: Yes or NO ?</t>
  </si>
  <si>
    <r>
      <t>SUBSEQUENT FISCAL YEARS</t>
    </r>
    <r>
      <rPr>
        <b/>
        <sz val="10"/>
        <rFont val="Arial"/>
        <family val="2"/>
      </rPr>
      <t>. (Reflect both Unrestricted and Restricted General Fund Budget Amounts)</t>
    </r>
  </si>
  <si>
    <t>IMPACT OF PROPOSED AGREEMENT ON THE GENERAL FUND BUDGET IN CURRENT AND TWO</t>
  </si>
  <si>
    <t>(DECREASE) TO FUND BALANCE</t>
  </si>
  <si>
    <t>CURRENT YEAR INCREASE/</t>
  </si>
  <si>
    <t xml:space="preserve">CURRENT YEAR INCREASE/ </t>
  </si>
  <si>
    <t>COMPONENTS OF EFB (above):</t>
  </si>
  <si>
    <t>C. REOPENERS, CONTINGENCY AND/OR RESTORATION LANGUAGE: Describe specific areas identified for Reopeners, Contingency, and/or Restoration (include triggers and timing).  Provide copy of Board Action to BAS upon approval.</t>
  </si>
  <si>
    <t>in accordance with E.C. 42142 and Government Code 3547.5.</t>
  </si>
  <si>
    <t>Indicate Total # of Instructional Days to be provided for fiscal year:</t>
  </si>
  <si>
    <t>% increase or (decrease) for one-time bonus/stipend or (salary reduction)</t>
  </si>
  <si>
    <t>Average Capped Amount increase or (decrease) per employee</t>
  </si>
  <si>
    <t xml:space="preserve">   if Yes, what Areas?</t>
  </si>
  <si>
    <t>TOTAL COST INCREASE OR (SAVINGS) FOR SALARIES AND BENEFITS IN THE PROPOSED AGREEMENT:</t>
  </si>
  <si>
    <r>
      <t xml:space="preserve">Statutory Benefits: </t>
    </r>
    <r>
      <rPr>
        <i/>
        <sz val="10"/>
        <rFont val="Arial"/>
        <family val="2"/>
      </rPr>
      <t>(object 3XXX less 34XX)</t>
    </r>
  </si>
  <si>
    <r>
      <t xml:space="preserve">District Health and Welfare Plans - </t>
    </r>
    <r>
      <rPr>
        <i/>
        <sz val="10"/>
        <rFont val="Arial"/>
        <family val="2"/>
      </rPr>
      <t xml:space="preserve">Object 34XX </t>
    </r>
    <r>
      <rPr>
        <sz val="10"/>
        <rFont val="Arial"/>
        <family val="2"/>
      </rPr>
      <t>(Medical, Dental, Vision, Life Insurance, Other)</t>
    </r>
  </si>
  <si>
    <t>(Based on YTD Actuals Projected through 6/30 and current agreement)</t>
  </si>
  <si>
    <t>(Include any retroactive pay increases or (decreases) or one-time bonuses/stipends or (reductions)):</t>
  </si>
  <si>
    <t xml:space="preserve">B. NON-COMPENSATION: Class Size Changes (indicate before and after class sizes/grades affected; and, if applied for CDE waiver (attach copy)), Staff Development Days, Teacher Prep Time, etc..  </t>
  </si>
  <si>
    <r>
      <t xml:space="preserve">The following are additional compensation and non-compensation provisions contained in the proposed agreement: (Indicate, </t>
    </r>
    <r>
      <rPr>
        <b/>
        <u/>
        <sz val="10"/>
        <rFont val="Arial"/>
        <family val="2"/>
      </rPr>
      <t>IN DETAIL</t>
    </r>
    <r>
      <rPr>
        <sz val="10"/>
        <rFont val="Arial"/>
        <family val="2"/>
      </rPr>
      <t>, the terms of the agreement covered in each section)</t>
    </r>
  </si>
  <si>
    <r>
      <t xml:space="preserve">Minimum State Reserve Requirement: </t>
    </r>
    <r>
      <rPr>
        <b/>
        <i/>
        <sz val="10"/>
        <rFont val="Arial"/>
        <family val="2"/>
      </rPr>
      <t>(Formula includes Total Exp/Uses x Minimum Reserve %)</t>
    </r>
  </si>
  <si>
    <t>(Pulls from above Governing Board Date plus 45 days)</t>
  </si>
  <si>
    <t>OPERATING REVENUES: LCFF ADA</t>
  </si>
  <si>
    <t>OPERATING SURPLUS/(DEFICIT)</t>
  </si>
  <si>
    <r>
      <t>BEGINNING FUND BALANCE (9791) (P</t>
    </r>
    <r>
      <rPr>
        <b/>
        <i/>
        <sz val="10"/>
        <rFont val="Arial"/>
        <family val="2"/>
      </rPr>
      <t>ulls from prior year EFB)</t>
    </r>
  </si>
  <si>
    <t>Assumptions used for LCFF Gap%, Unduplicated %, Other Revenue COLAs, Addl/Reduced staffing, etc., explain below:</t>
  </si>
  <si>
    <t>If the total amount of the adjustment in Column 2 does not agree with the amount of the total cost shown in Section 5, Total Costs, please explain below.  Also, list any other assumptions used or included in Column 3:</t>
  </si>
  <si>
    <r>
      <t>BEGINNING FUND BALANCE (9791)</t>
    </r>
    <r>
      <rPr>
        <b/>
        <i/>
        <sz val="10"/>
        <rFont val="Arial"/>
        <family val="2"/>
      </rPr>
      <t xml:space="preserve"> (Pulls from prior year EFB)</t>
    </r>
  </si>
  <si>
    <t>Assumptions used for LCFF Gap%, Unduplicated %, Other Revenue COLAs, Addl/Reduced Staffing, etc., explain below:</t>
  </si>
  <si>
    <r>
      <t xml:space="preserve">MULTI-YEAR CONTRACT AGREEMENT PROVISIONS: The proposed agreement contains the following COLAs and other compensation/non-compensation provisions for subsequent years as follows </t>
    </r>
    <r>
      <rPr>
        <b/>
        <i/>
        <sz val="10"/>
        <rFont val="Arial"/>
        <family val="2"/>
      </rPr>
      <t>(text pulls into disclosure</t>
    </r>
    <r>
      <rPr>
        <b/>
        <sz val="10"/>
        <rFont val="Arial"/>
        <family val="2"/>
      </rPr>
      <t xml:space="preserve">):  </t>
    </r>
    <r>
      <rPr>
        <b/>
        <u/>
        <sz val="10"/>
        <rFont val="Arial"/>
        <family val="2"/>
      </rPr>
      <t>Send copy of final Agreement to BAS upon Board Approval</t>
    </r>
  </si>
  <si>
    <t>NARRATIVE OF AGREEMENT: Provide a brief narrative of the proposed changes in compensation or health premiums, including percentage changes, effective dates, and comments and/or explanations.  (text pulls into disclosure):</t>
  </si>
  <si>
    <r>
      <t>FINANCIAL IMPACT OF PROPOSED AGREEMENT IN SUBSEQUENT FISCAL YEARS: The following assumptions were used to determine that resources will be available to fund these obligations in future fiscal years. (Include any compensation/noncompensation provisions specified below.)  (</t>
    </r>
    <r>
      <rPr>
        <b/>
        <i/>
        <sz val="10"/>
        <rFont val="Arial"/>
        <family val="2"/>
      </rPr>
      <t>text pulls into disclosure</t>
    </r>
    <r>
      <rPr>
        <b/>
        <sz val="10"/>
        <rFont val="Arial"/>
        <family val="2"/>
      </rPr>
      <t>):</t>
    </r>
  </si>
  <si>
    <t>SOURCE OF FUNDING FOR PROPOSED AGREEMENT: Provide a brief narrative of the funds available in the current year to provide for the costs of this agreement.  (text pulls into disclosure):</t>
  </si>
  <si>
    <t xml:space="preserve">This section is in response to the Criteria and Standards Additional Fiscal Indicators #A.5., which asks: "Has the district entered into a bargaining agreement where any of the budget or subsequent years of the agreement would result in salary increases that are expected to exceed the projected state cost of living adjustment." </t>
  </si>
  <si>
    <t>COMPARISON OF PROPOSED AGREEMENT TO CHANGE IN DISTRICT LOCAL CONTROL FUNDING FORMULA (LCFF):</t>
  </si>
  <si>
    <t>(C)</t>
  </si>
  <si>
    <t>(D)</t>
  </si>
  <si>
    <t>(E)</t>
  </si>
  <si>
    <t>(F)</t>
  </si>
  <si>
    <t>(G)</t>
  </si>
  <si>
    <t xml:space="preserve">(A) minus (B) </t>
  </si>
  <si>
    <t xml:space="preserve">(C) divided by (B) </t>
  </si>
  <si>
    <t>Current year P-2 LCFF funded ADA (greater of PY guarantee or current year)</t>
  </si>
  <si>
    <t>Prior Year P-2 LCFF funded ADA (greater of PY guarantee or current year)</t>
  </si>
  <si>
    <t>If proposed agreement % on Line G is greater than Line F, please provide explanation below:</t>
  </si>
  <si>
    <t>WE HEREBY CERTIFY THAT THE COSTS INCURRED BY THE SCHOOL DISTRICT UNDER THIS AGREEMENT CAN BE MET BY THE DISTRICT DURING THE TERM OF THE AGREEMENT.</t>
  </si>
  <si>
    <t xml:space="preserve">took action to approve the proposed Agreement with the </t>
  </si>
  <si>
    <t xml:space="preserve">(A) </t>
  </si>
  <si>
    <t>Current-year (CY) LCFF Average Rate per ADA:</t>
  </si>
  <si>
    <t xml:space="preserve">(B) </t>
  </si>
  <si>
    <t>Less Prior-Year (PY) LCFF BASC Calculator Rate per ADA:</t>
  </si>
  <si>
    <t>Chief Business Official - signature</t>
  </si>
  <si>
    <t>President, Governing Board - signature</t>
  </si>
  <si>
    <r>
      <t xml:space="preserve">To be signed by the </t>
    </r>
    <r>
      <rPr>
        <b/>
        <i/>
        <sz val="10"/>
        <rFont val="Arial"/>
        <family val="2"/>
      </rPr>
      <t xml:space="preserve">District Superintendent AND Chief Business Official </t>
    </r>
    <r>
      <rPr>
        <b/>
        <i/>
        <u/>
        <sz val="10"/>
        <rFont val="Arial"/>
        <family val="2"/>
      </rPr>
      <t>upon submission to the Governing Board</t>
    </r>
    <r>
      <rPr>
        <i/>
        <sz val="10"/>
        <rFont val="Arial"/>
        <family val="2"/>
      </rPr>
      <t xml:space="preserve"> and by</t>
    </r>
    <r>
      <rPr>
        <b/>
        <i/>
        <sz val="10"/>
        <rFont val="Arial"/>
        <family val="2"/>
      </rPr>
      <t xml:space="preserve"> the Board President </t>
    </r>
    <r>
      <rPr>
        <b/>
        <i/>
        <u/>
        <sz val="10"/>
        <rFont val="Arial"/>
        <family val="2"/>
      </rPr>
      <t>upon formal Board action</t>
    </r>
    <r>
      <rPr>
        <i/>
        <sz val="10"/>
        <rFont val="Arial"/>
        <family val="2"/>
      </rPr>
      <t xml:space="preserve"> on the proposed agreement. </t>
    </r>
  </si>
  <si>
    <t>This document is REQUIRED whenever a NEW or AMENDED agreement is ratified.</t>
  </si>
  <si>
    <t>(Separate disclosures should be made for each bargaining unit agreement)</t>
  </si>
  <si>
    <t>FOR SUBMISSION TO THE GOVERNING BOARD AND THE COUNTY SUPERINTENDENT OF SCHOOLS in compliance with the Public Disclosure requirements of AB 1200 (Statutes 1991, Chapter 1213) as revised by AB 2756  (Statues of 2004, Chapter 25), Government Code 3547.5 &amp; 3540.2.</t>
  </si>
  <si>
    <t>The proposed agreement includes the following costs for salaries for the above-mentioned Bargaining unit:</t>
  </si>
  <si>
    <t>Current Year Salary Cost Before Settlement</t>
  </si>
  <si>
    <t>Current Year Salary Cost After Settlement</t>
  </si>
  <si>
    <t>SALARY CHANGE FOR AN AVERAGE, REPRESENTED EMPLOYEE FROM PRIOR YEAR</t>
  </si>
  <si>
    <t>Indicate Change in # of Work Days, Furlough or Additional, Related to % Change</t>
  </si>
  <si>
    <t>Indicate Total # of Work Days to be provided for fiscal year:</t>
  </si>
  <si>
    <t>Indicate if Health/Welfare Benefits are Capped: (Include details such as different caps per health plans or any super composite rates.  Also, indicate if cap includes health benefits only or also other insurances.)</t>
  </si>
  <si>
    <t>A. OTHER COMPENSATION: Off-Schedule Stipends/Bonuses, Reductions, etc. (amounts, staff affected, total cost and/or savings).</t>
  </si>
  <si>
    <t>In-Lieu of this form, an updated Form MYP can be supplied which includes the results of the settlement over the</t>
  </si>
  <si>
    <t>most recent Form MYP filed with this office.</t>
  </si>
  <si>
    <t>Projected District 
Budget After Settlement 
of Agreement
(Cols. 1 + 2 + 3)</t>
  </si>
  <si>
    <t>Adjustments as a 
Direct Result of 
this Proposed 
Settlement</t>
  </si>
  <si>
    <t>Other Revisions 
(Including Other 
Proposed BU 
Agreements) 
Required to support 
cost of agreement
(i.e. "me-too")</t>
  </si>
  <si>
    <r>
      <t>Districts with a Qualified or Negative Certification</t>
    </r>
    <r>
      <rPr>
        <b/>
        <i/>
        <sz val="10"/>
        <rFont val="Arial"/>
        <family val="2"/>
      </rPr>
      <t xml:space="preserve">: Per Govenment Code 3540.2, signatures of the District Superintendent and Chief Business Official must accompany the Summary Disclosure sent to the County Superintendent for review </t>
    </r>
    <r>
      <rPr>
        <b/>
        <i/>
        <u/>
        <sz val="10"/>
        <rFont val="Arial"/>
        <family val="2"/>
      </rPr>
      <t>10 days prior to the board meeting that will ratify the agreement</t>
    </r>
    <r>
      <rPr>
        <b/>
        <i/>
        <sz val="10"/>
        <rFont val="Arial"/>
        <family val="2"/>
      </rPr>
      <t>.</t>
    </r>
  </si>
  <si>
    <t>The information provided in this document summarizes the financial implications of the proposed agreement and is submitted for public disclosure in accordance with the requirements of AB 1200, AB 2756 and GC 3547.5.</t>
  </si>
  <si>
    <t>The information provided in this document summarizes the financial implications of the proposed agreement and is submitted to the Governing Board for public disclosure of the major provisions of the agreement (as provided in the “Public Disclosure of Proposed Collective Bargaining Agreement”) in accordance with the requirements of AB 1200,   AB 2756, GC 3547.5, and GC 3540.2.</t>
  </si>
  <si>
    <r>
      <t xml:space="preserve">Government Code Section 3547.5: </t>
    </r>
    <r>
      <rPr>
        <b/>
        <u/>
        <sz val="10"/>
        <rFont val="Arial"/>
        <family val="2"/>
      </rPr>
      <t>Before</t>
    </r>
    <r>
      <rPr>
        <sz val="10"/>
        <rFont val="Arial"/>
        <family val="2"/>
      </rPr>
      <t xml:space="preserv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t>
    </r>
  </si>
  <si>
    <t>Current Year Costs Before Agreement</t>
  </si>
  <si>
    <t>Current Year Costs After Agreement</t>
  </si>
  <si>
    <t>Value of a 1% Change</t>
  </si>
  <si>
    <t xml:space="preserve">The total percentage change in salary, including annual step and column movement on the salary schedule (as applicable), for the average, represented employee under this proposed agreement: </t>
  </si>
  <si>
    <t xml:space="preserve">PERCENTAGE SALARY CHANGE FOR AVERAGE, REPRESENTED EMPLOYEE </t>
  </si>
  <si>
    <t>(Average % Change Over Prior Year Salary Schedule)</t>
  </si>
  <si>
    <t>average % annual change over the prior year schedule</t>
  </si>
  <si>
    <t xml:space="preserve">AVERAGE, REPRESENTED EMPLOYEE </t>
  </si>
  <si>
    <t>Change in # of Work Days (+/-) Related to % Change</t>
  </si>
  <si>
    <t>MAJOR PROVISIONS OF PROPOSED AGREEMENT WITH THE</t>
  </si>
  <si>
    <t>Total # of Work Days to be provided in Fiscal Year</t>
  </si>
  <si>
    <t xml:space="preserve">PERCENTAGE BENEFITS CHANGE FOR BOTH STATUTORY AND DISTRICT-PROVIDED EMPLOYEE BENEFITS INCLUDED IN THIS PROPOSED AGREEMENT: </t>
  </si>
  <si>
    <t>Estimated Agreement Payment Date</t>
  </si>
  <si>
    <t>cross-check = total columns 1-3</t>
  </si>
  <si>
    <t>Provide proof that board-approved budget revisions have been input within 45 days.  Date budget revisions input/BT #'s:</t>
  </si>
  <si>
    <t>Any School Teacher's Association</t>
  </si>
  <si>
    <t>Not Settled</t>
  </si>
  <si>
    <t>Benefits are capped</t>
  </si>
  <si>
    <t>District ongoing LCFF funding will be used to fund this agreement in the current and future years.</t>
  </si>
  <si>
    <t>Step and column costs applied to salary and benefit cost increases.</t>
  </si>
  <si>
    <t>Any Unified</t>
  </si>
  <si>
    <t>Yes</t>
  </si>
  <si>
    <t>This settlement is the result of reopeners included in the current agreement with the following term: 07/01/2021-06/30/2024</t>
  </si>
  <si>
    <t>None.</t>
  </si>
  <si>
    <t>BT #'s: 55-60</t>
  </si>
  <si>
    <t>2023-24</t>
  </si>
  <si>
    <t>Current Fiscal Year      2023-24</t>
  </si>
  <si>
    <t>First Subsequent Year  2024-25</t>
  </si>
  <si>
    <t>Second Subsequent Year  2025-26</t>
  </si>
  <si>
    <t>Latest Board-Approved Budget Before Settlement</t>
  </si>
  <si>
    <t>Latest Board-Approved Budget Before Settlement as of</t>
  </si>
  <si>
    <t>Effective July 1, 2023, a 11.0% increase will be applied to all ASTA salary schedules.  In addition, the district will provide a one-time off schedule payment of $1,500 for all ASTA employees in active status as of 08/01/2023 and pro-rated per full-time equivalent (FTE).  Additionally the health and welfare contribution cap will increase by $2,000 to $20,500.</t>
  </si>
  <si>
    <t>Column 3 reflects other adjustments relating to the district's most recent MYP and pending tentative agreement with classified bargaining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</si>
</sst>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0.0%"/>
    <numFmt numFmtId="167" formatCode="0.00%;[Red]\(#.##%\)"/>
    <numFmt numFmtId="168" formatCode="0.00%;[Red]\(0.00%\)"/>
    <numFmt numFmtId="169" formatCode="&quot;$&quot;#,##0.00"/>
    <numFmt numFmtId="170" formatCode="[$-F800]dddd\,\ mmmm\ dd\,\ yyyy"/>
    <numFmt numFmtId="171" formatCode="#,##0.0"/>
    <numFmt numFmtId="172" formatCode="0_);[Red]\(0\)"/>
  </numFmts>
  <fonts count="24" x14ac:knownFonts="1">
    <font>
      <sz val="10"/>
      <name val="Arial"/>
    </font>
    <font>
      <sz val="10"/>
      <name val="Arial"/>
      <family val="2"/>
    </font>
    <font>
      <b/>
      <sz val="10"/>
      <name val="Arial"/>
      <family val="2"/>
    </font>
    <font>
      <b/>
      <i/>
      <sz val="10"/>
      <name val="Arial"/>
      <family val="2"/>
    </font>
    <font>
      <sz val="8"/>
      <name val="Arial"/>
      <family val="2"/>
    </font>
    <font>
      <sz val="10"/>
      <name val="Arial"/>
      <family val="2"/>
    </font>
    <font>
      <b/>
      <sz val="10"/>
      <color indexed="10"/>
      <name val="Arial"/>
      <family val="2"/>
    </font>
    <font>
      <sz val="9"/>
      <name val="Arial"/>
      <family val="2"/>
    </font>
    <font>
      <b/>
      <sz val="9"/>
      <name val="Arial"/>
      <family val="2"/>
    </font>
    <font>
      <sz val="9"/>
      <color indexed="10"/>
      <name val="Arial"/>
      <family val="2"/>
    </font>
    <font>
      <b/>
      <i/>
      <sz val="8"/>
      <name val="Arial"/>
      <family val="2"/>
    </font>
    <font>
      <b/>
      <sz val="12"/>
      <name val="Arial"/>
      <family val="2"/>
    </font>
    <font>
      <b/>
      <i/>
      <sz val="9"/>
      <name val="Arial"/>
      <family val="2"/>
    </font>
    <font>
      <b/>
      <sz val="8"/>
      <name val="Arial"/>
      <family val="2"/>
    </font>
    <font>
      <b/>
      <u/>
      <sz val="10"/>
      <name val="Arial"/>
      <family val="2"/>
    </font>
    <font>
      <b/>
      <i/>
      <u/>
      <sz val="10"/>
      <name val="Arial"/>
      <family val="2"/>
    </font>
    <font>
      <i/>
      <sz val="10"/>
      <name val="Arial"/>
      <family val="2"/>
    </font>
    <font>
      <i/>
      <sz val="8"/>
      <name val="Arial"/>
      <family val="2"/>
    </font>
    <font>
      <i/>
      <sz val="9"/>
      <name val="Arial"/>
      <family val="2"/>
    </font>
    <font>
      <u/>
      <sz val="10"/>
      <name val="Arial"/>
      <family val="2"/>
    </font>
    <font>
      <b/>
      <i/>
      <sz val="10"/>
      <color indexed="10"/>
      <name val="Arial"/>
      <family val="2"/>
    </font>
    <font>
      <sz val="10"/>
      <color indexed="63"/>
      <name val="Arial"/>
      <family val="2"/>
    </font>
    <font>
      <sz val="9"/>
      <name val="Arial"/>
      <family val="2"/>
    </font>
    <font>
      <b/>
      <i/>
      <sz val="10"/>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indexed="41"/>
        <bgColor indexed="64"/>
      </patternFill>
    </fill>
    <fill>
      <patternFill patternType="solid">
        <fgColor indexed="8"/>
        <bgColor indexed="64"/>
      </patternFill>
    </fill>
    <fill>
      <patternFill patternType="solid">
        <fgColor indexed="4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9" tint="0.59999389629810485"/>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ashDot">
        <color indexed="16"/>
      </left>
      <right/>
      <top style="dashDot">
        <color indexed="16"/>
      </top>
      <bottom/>
      <diagonal/>
    </border>
    <border>
      <left/>
      <right/>
      <top style="dashDot">
        <color indexed="16"/>
      </top>
      <bottom/>
      <diagonal/>
    </border>
    <border>
      <left/>
      <right style="dashDot">
        <color indexed="16"/>
      </right>
      <top style="dashDot">
        <color indexed="16"/>
      </top>
      <bottom/>
      <diagonal/>
    </border>
    <border>
      <left style="dashDot">
        <color indexed="16"/>
      </left>
      <right/>
      <top/>
      <bottom/>
      <diagonal/>
    </border>
    <border>
      <left style="dashDot">
        <color indexed="16"/>
      </left>
      <right/>
      <top/>
      <bottom style="dashDot">
        <color indexed="16"/>
      </bottom>
      <diagonal/>
    </border>
    <border>
      <left/>
      <right/>
      <top/>
      <bottom style="dashDot">
        <color indexed="16"/>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54">
    <xf numFmtId="0" fontId="0" fillId="0" borderId="0" xfId="0"/>
    <xf numFmtId="9" fontId="0" fillId="0" borderId="0" xfId="3" applyFont="1"/>
    <xf numFmtId="43" fontId="0" fillId="0" borderId="0" xfId="1"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0" xfId="0" applyFont="1"/>
    <xf numFmtId="0" fontId="0" fillId="0" borderId="0" xfId="0" applyAlignment="1">
      <alignment wrapText="1"/>
    </xf>
    <xf numFmtId="0" fontId="0" fillId="0" borderId="0" xfId="0" applyAlignment="1">
      <alignment horizontal="centerContinuous"/>
    </xf>
    <xf numFmtId="0" fontId="3" fillId="0" borderId="0" xfId="0" applyFont="1"/>
    <xf numFmtId="0" fontId="0" fillId="0" borderId="0" xfId="0" quotePrefix="1"/>
    <xf numFmtId="0" fontId="2" fillId="0" borderId="0" xfId="0" applyFont="1" applyAlignment="1">
      <alignment horizontal="centerContinuous"/>
    </xf>
    <xf numFmtId="43" fontId="3" fillId="0" borderId="0" xfId="0" applyNumberFormat="1" applyFont="1"/>
    <xf numFmtId="9" fontId="3" fillId="0" borderId="0" xfId="0" applyNumberFormat="1" applyFont="1"/>
    <xf numFmtId="9" fontId="3" fillId="0" borderId="0" xfId="3" applyFont="1"/>
    <xf numFmtId="0" fontId="0" fillId="0" borderId="4" xfId="0" applyBorder="1" applyAlignment="1">
      <alignment wrapText="1"/>
    </xf>
    <xf numFmtId="0" fontId="2" fillId="0" borderId="7" xfId="0" applyFont="1" applyBorder="1"/>
    <xf numFmtId="0" fontId="2" fillId="0" borderId="6" xfId="0" applyFont="1" applyBorder="1"/>
    <xf numFmtId="0" fontId="2" fillId="0" borderId="0" xfId="0" applyFont="1" applyAlignment="1">
      <alignment horizontal="left"/>
    </xf>
    <xf numFmtId="0" fontId="2" fillId="2" borderId="7" xfId="0" applyFont="1" applyFill="1" applyBorder="1" applyAlignment="1">
      <alignment horizontal="centerContinuous"/>
    </xf>
    <xf numFmtId="0" fontId="2" fillId="2" borderId="1" xfId="0" applyFont="1" applyFill="1" applyBorder="1" applyAlignment="1">
      <alignment horizontal="centerContinuous"/>
    </xf>
    <xf numFmtId="0" fontId="2" fillId="2" borderId="2" xfId="0" applyFont="1" applyFill="1" applyBorder="1" applyAlignment="1">
      <alignment horizontal="centerContinuous"/>
    </xf>
    <xf numFmtId="0" fontId="2" fillId="2" borderId="5" xfId="0" applyFont="1" applyFill="1" applyBorder="1" applyAlignment="1">
      <alignment horizontal="centerContinuous"/>
    </xf>
    <xf numFmtId="0" fontId="2" fillId="2" borderId="6" xfId="0" applyFont="1" applyFill="1" applyBorder="1" applyAlignment="1">
      <alignment horizontal="centerContinuous"/>
    </xf>
    <xf numFmtId="0" fontId="2" fillId="2" borderId="8" xfId="0" applyFont="1" applyFill="1" applyBorder="1" applyAlignment="1">
      <alignment horizontal="centerContinuous"/>
    </xf>
    <xf numFmtId="0" fontId="3" fillId="0" borderId="0" xfId="0" applyFont="1" applyAlignment="1">
      <alignment horizontal="centerContinuous"/>
    </xf>
    <xf numFmtId="0" fontId="3" fillId="0" borderId="3" xfId="0" applyFont="1" applyBorder="1"/>
    <xf numFmtId="0" fontId="4" fillId="0" borderId="0" xfId="0" applyFont="1" applyAlignment="1">
      <alignment horizontal="center"/>
    </xf>
    <xf numFmtId="165" fontId="2" fillId="0" borderId="0" xfId="1" applyNumberFormat="1" applyFont="1" applyFill="1" applyBorder="1"/>
    <xf numFmtId="165" fontId="5" fillId="0" borderId="0" xfId="1" applyNumberFormat="1" applyFont="1" applyFill="1" applyBorder="1"/>
    <xf numFmtId="0" fontId="6" fillId="0" borderId="0" xfId="0" applyFont="1"/>
    <xf numFmtId="0" fontId="7" fillId="0" borderId="0" xfId="0" applyFont="1"/>
    <xf numFmtId="0" fontId="8"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0" fillId="0" borderId="0" xfId="0" applyAlignment="1">
      <alignment horizontal="left"/>
    </xf>
    <xf numFmtId="166" fontId="0" fillId="0" borderId="4" xfId="0" applyNumberFormat="1" applyBorder="1"/>
    <xf numFmtId="166" fontId="2" fillId="0" borderId="4" xfId="0" applyNumberFormat="1" applyFont="1" applyBorder="1"/>
    <xf numFmtId="165" fontId="0" fillId="0" borderId="0" xfId="1" applyNumberFormat="1" applyFont="1" applyFill="1" applyBorder="1" applyAlignment="1">
      <alignment horizontal="centerContinuous"/>
    </xf>
    <xf numFmtId="165" fontId="3" fillId="0" borderId="0" xfId="1" applyNumberFormat="1" applyFont="1" applyFill="1" applyBorder="1" applyAlignment="1">
      <alignment horizontal="centerContinuous"/>
    </xf>
    <xf numFmtId="165" fontId="10" fillId="0" borderId="9" xfId="0" applyNumberFormat="1" applyFont="1" applyBorder="1" applyAlignment="1">
      <alignment horizontal="center"/>
    </xf>
    <xf numFmtId="0" fontId="2" fillId="0" borderId="0" xfId="0" quotePrefix="1" applyFont="1" applyAlignment="1">
      <alignment horizontal="left"/>
    </xf>
    <xf numFmtId="10" fontId="3" fillId="0" borderId="0" xfId="3" applyNumberFormat="1" applyFont="1" applyBorder="1"/>
    <xf numFmtId="0" fontId="0" fillId="0" borderId="0" xfId="0" quotePrefix="1" applyAlignment="1">
      <alignment horizontal="left"/>
    </xf>
    <xf numFmtId="9" fontId="0" fillId="0" borderId="0" xfId="3" applyFont="1" applyBorder="1"/>
    <xf numFmtId="49" fontId="0" fillId="0" borderId="0" xfId="0" applyNumberFormat="1" applyAlignment="1">
      <alignment horizontal="left"/>
    </xf>
    <xf numFmtId="2" fontId="8" fillId="0" borderId="0" xfId="0" applyNumberFormat="1" applyFont="1"/>
    <xf numFmtId="0" fontId="12" fillId="0" borderId="0" xfId="0" applyFont="1" applyAlignment="1">
      <alignment horizontal="centerContinuous"/>
    </xf>
    <xf numFmtId="0" fontId="5" fillId="0" borderId="0" xfId="0" applyFont="1"/>
    <xf numFmtId="0" fontId="13" fillId="0" borderId="0" xfId="0" applyFont="1" applyAlignment="1">
      <alignment horizontal="center"/>
    </xf>
    <xf numFmtId="0" fontId="4" fillId="0" borderId="0" xfId="0" applyFont="1"/>
    <xf numFmtId="0" fontId="4" fillId="0" borderId="6" xfId="0" applyFont="1" applyBorder="1"/>
    <xf numFmtId="0" fontId="4" fillId="0" borderId="8" xfId="0" applyFont="1" applyBorder="1"/>
    <xf numFmtId="166" fontId="3" fillId="0" borderId="0" xfId="3" applyNumberFormat="1" applyFont="1" applyFill="1" applyBorder="1" applyAlignment="1">
      <alignment horizontal="centerContinuous"/>
    </xf>
    <xf numFmtId="44" fontId="3" fillId="2" borderId="9" xfId="2" applyFont="1" applyFill="1" applyBorder="1" applyAlignment="1">
      <alignment horizontal="centerContinuous"/>
    </xf>
    <xf numFmtId="0" fontId="16" fillId="0" borderId="0" xfId="0" applyFont="1"/>
    <xf numFmtId="0" fontId="12" fillId="0" borderId="3" xfId="0" applyFont="1" applyBorder="1" applyAlignment="1">
      <alignment horizontal="centerContinuous"/>
    </xf>
    <xf numFmtId="0" fontId="7" fillId="0" borderId="0" xfId="0" applyFont="1" applyAlignment="1">
      <alignment horizontal="centerContinuous"/>
    </xf>
    <xf numFmtId="0" fontId="7" fillId="0" borderId="4" xfId="0" applyFont="1" applyBorder="1"/>
    <xf numFmtId="165" fontId="16" fillId="0" borderId="0" xfId="1" applyNumberFormat="1" applyFont="1" applyBorder="1"/>
    <xf numFmtId="0" fontId="14" fillId="0" borderId="0" xfId="0" quotePrefix="1" applyFont="1" applyAlignment="1">
      <alignment horizontal="left"/>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18" fillId="0" borderId="0" xfId="0" quotePrefix="1" applyFont="1" applyAlignment="1">
      <alignment horizontal="left"/>
    </xf>
    <xf numFmtId="0" fontId="16" fillId="0" borderId="0" xfId="0" quotePrefix="1" applyFont="1" applyAlignment="1">
      <alignment horizontal="left"/>
    </xf>
    <xf numFmtId="0" fontId="0" fillId="0" borderId="15" xfId="0" applyBorder="1"/>
    <xf numFmtId="0" fontId="2" fillId="0" borderId="13" xfId="0" applyFont="1" applyBorder="1"/>
    <xf numFmtId="44" fontId="3" fillId="2" borderId="16" xfId="2" applyFont="1" applyFill="1" applyBorder="1" applyAlignment="1">
      <alignment horizontal="centerContinuous"/>
    </xf>
    <xf numFmtId="0" fontId="19" fillId="0" borderId="0" xfId="0" applyFont="1"/>
    <xf numFmtId="0" fontId="1" fillId="0" borderId="0" xfId="0" applyFont="1"/>
    <xf numFmtId="0" fontId="3" fillId="0" borderId="0" xfId="0" quotePrefix="1" applyFont="1" applyAlignment="1">
      <alignment horizontal="left"/>
    </xf>
    <xf numFmtId="44" fontId="3" fillId="2" borderId="17" xfId="2" applyFont="1" applyFill="1" applyBorder="1"/>
    <xf numFmtId="14" fontId="0" fillId="0" borderId="9" xfId="0" applyNumberFormat="1" applyBorder="1" applyAlignment="1">
      <alignment horizontal="center"/>
    </xf>
    <xf numFmtId="0" fontId="2" fillId="0" borderId="0" xfId="0" applyFont="1" applyAlignment="1">
      <alignment wrapText="1"/>
    </xf>
    <xf numFmtId="0" fontId="20" fillId="0" borderId="0" xfId="0" applyFont="1"/>
    <xf numFmtId="168" fontId="3" fillId="3" borderId="9" xfId="3" applyNumberFormat="1" applyFont="1" applyFill="1" applyBorder="1" applyAlignment="1">
      <alignment horizontal="centerContinuous"/>
    </xf>
    <xf numFmtId="168" fontId="3" fillId="2" borderId="9" xfId="0" applyNumberFormat="1" applyFont="1" applyFill="1" applyBorder="1"/>
    <xf numFmtId="8" fontId="3" fillId="2" borderId="9" xfId="2" applyNumberFormat="1" applyFont="1" applyFill="1" applyBorder="1" applyAlignment="1">
      <alignment horizontal="centerContinuous"/>
    </xf>
    <xf numFmtId="8" fontId="3" fillId="3" borderId="9" xfId="1" applyNumberFormat="1" applyFont="1" applyFill="1" applyBorder="1" applyAlignment="1">
      <alignment horizontal="centerContinuous"/>
    </xf>
    <xf numFmtId="168" fontId="3" fillId="2" borderId="9" xfId="3" applyNumberFormat="1" applyFont="1" applyFill="1" applyBorder="1" applyAlignment="1">
      <alignment horizontal="centerContinuous"/>
    </xf>
    <xf numFmtId="8" fontId="3" fillId="2" borderId="18" xfId="2" applyNumberFormat="1" applyFont="1" applyFill="1" applyBorder="1" applyAlignment="1">
      <alignment horizontal="centerContinuous"/>
    </xf>
    <xf numFmtId="168" fontId="2" fillId="2" borderId="16" xfId="3" applyNumberFormat="1" applyFont="1" applyFill="1" applyBorder="1"/>
    <xf numFmtId="8" fontId="3" fillId="2" borderId="19" xfId="2" applyNumberFormat="1" applyFont="1" applyFill="1" applyBorder="1" applyAlignment="1">
      <alignment horizontal="centerContinuous"/>
    </xf>
    <xf numFmtId="168" fontId="3" fillId="2" borderId="19" xfId="3" applyNumberFormat="1" applyFont="1" applyFill="1" applyBorder="1" applyAlignment="1">
      <alignment horizontal="centerContinuous"/>
    </xf>
    <xf numFmtId="0" fontId="2" fillId="0" borderId="0" xfId="0" applyFont="1" applyAlignment="1">
      <alignment horizontal="center"/>
    </xf>
    <xf numFmtId="0" fontId="2" fillId="0" borderId="3" xfId="0" applyFont="1" applyBorder="1"/>
    <xf numFmtId="40" fontId="5" fillId="0" borderId="9" xfId="1" applyNumberFormat="1" applyFont="1" applyBorder="1"/>
    <xf numFmtId="40" fontId="2" fillId="2" borderId="9" xfId="1" applyNumberFormat="1" applyFont="1" applyFill="1" applyBorder="1"/>
    <xf numFmtId="40" fontId="2" fillId="0" borderId="0" xfId="1" applyNumberFormat="1" applyFont="1" applyFill="1" applyBorder="1"/>
    <xf numFmtId="40" fontId="5" fillId="0" borderId="0" xfId="1" applyNumberFormat="1" applyFont="1" applyBorder="1"/>
    <xf numFmtId="40" fontId="5" fillId="2" borderId="17" xfId="1" applyNumberFormat="1" applyFont="1" applyFill="1" applyBorder="1"/>
    <xf numFmtId="40" fontId="2" fillId="2" borderId="20" xfId="1" applyNumberFormat="1" applyFont="1" applyFill="1" applyBorder="1"/>
    <xf numFmtId="40" fontId="2" fillId="0" borderId="21" xfId="1" applyNumberFormat="1" applyFont="1" applyFill="1" applyBorder="1"/>
    <xf numFmtId="40" fontId="6" fillId="0" borderId="21" xfId="1" applyNumberFormat="1" applyFont="1" applyFill="1" applyBorder="1"/>
    <xf numFmtId="40" fontId="2" fillId="2" borderId="17" xfId="1" applyNumberFormat="1" applyFont="1" applyFill="1" applyBorder="1"/>
    <xf numFmtId="168" fontId="3" fillId="0" borderId="9" xfId="3" applyNumberFormat="1" applyFont="1" applyBorder="1"/>
    <xf numFmtId="0" fontId="12" fillId="0" borderId="0" xfId="0" applyFont="1"/>
    <xf numFmtId="8" fontId="3" fillId="2" borderId="17" xfId="2" applyNumberFormat="1" applyFont="1" applyFill="1" applyBorder="1"/>
    <xf numFmtId="167" fontId="3" fillId="0" borderId="9" xfId="3" applyNumberFormat="1" applyFont="1" applyBorder="1"/>
    <xf numFmtId="40" fontId="5" fillId="2" borderId="20" xfId="1" applyNumberFormat="1" applyFont="1" applyFill="1" applyBorder="1"/>
    <xf numFmtId="40" fontId="5" fillId="2" borderId="9" xfId="1" applyNumberFormat="1" applyFont="1" applyFill="1" applyBorder="1"/>
    <xf numFmtId="40" fontId="5" fillId="0" borderId="6" xfId="1" applyNumberFormat="1" applyFont="1" applyFill="1" applyBorder="1"/>
    <xf numFmtId="40" fontId="5" fillId="0" borderId="21" xfId="1" applyNumberFormat="1" applyFont="1" applyFill="1" applyBorder="1"/>
    <xf numFmtId="40" fontId="16" fillId="0" borderId="0" xfId="1" applyNumberFormat="1" applyFont="1" applyBorder="1"/>
    <xf numFmtId="40" fontId="5" fillId="0" borderId="0" xfId="1" applyNumberFormat="1" applyFont="1" applyFill="1" applyBorder="1"/>
    <xf numFmtId="40" fontId="5" fillId="4" borderId="20" xfId="1" applyNumberFormat="1" applyFont="1" applyFill="1" applyBorder="1"/>
    <xf numFmtId="40" fontId="3" fillId="2" borderId="9" xfId="1" applyNumberFormat="1" applyFont="1" applyFill="1" applyBorder="1" applyAlignment="1">
      <alignment horizontal="centerContinuous"/>
    </xf>
    <xf numFmtId="168" fontId="3" fillId="0" borderId="0" xfId="3" applyNumberFormat="1" applyFont="1" applyFill="1" applyBorder="1" applyAlignment="1">
      <alignment horizontal="centerContinuous"/>
    </xf>
    <xf numFmtId="169" fontId="0" fillId="0" borderId="0" xfId="1" applyNumberFormat="1" applyFont="1"/>
    <xf numFmtId="14" fontId="16" fillId="0" borderId="0" xfId="0" applyNumberFormat="1" applyFont="1" applyAlignment="1">
      <alignment horizontal="left"/>
    </xf>
    <xf numFmtId="8" fontId="3" fillId="0" borderId="0" xfId="0" applyNumberFormat="1" applyFont="1"/>
    <xf numFmtId="8" fontId="0" fillId="0" borderId="0" xfId="0" applyNumberFormat="1"/>
    <xf numFmtId="49" fontId="0" fillId="0" borderId="0" xfId="0" quotePrefix="1" applyNumberFormat="1" applyAlignment="1">
      <alignment horizontal="left"/>
    </xf>
    <xf numFmtId="168" fontId="3" fillId="0" borderId="0" xfId="0" applyNumberFormat="1" applyFont="1"/>
    <xf numFmtId="40" fontId="3" fillId="0" borderId="0" xfId="0" applyNumberFormat="1" applyFont="1"/>
    <xf numFmtId="40" fontId="0" fillId="0" borderId="0" xfId="0" applyNumberFormat="1"/>
    <xf numFmtId="8" fontId="3" fillId="0" borderId="0" xfId="0" applyNumberFormat="1" applyFont="1" applyAlignment="1">
      <alignment horizontal="centerContinuous"/>
    </xf>
    <xf numFmtId="8" fontId="0" fillId="0" borderId="0" xfId="0" applyNumberFormat="1" applyAlignment="1">
      <alignment horizontal="centerContinuous"/>
    </xf>
    <xf numFmtId="0" fontId="0" fillId="0" borderId="0" xfId="0" applyAlignment="1">
      <alignment horizontal="center"/>
    </xf>
    <xf numFmtId="0" fontId="2" fillId="0" borderId="0" xfId="0" applyFont="1" applyAlignment="1">
      <alignment vertical="top"/>
    </xf>
    <xf numFmtId="168" fontId="3" fillId="2" borderId="9" xfId="3" applyNumberFormat="1" applyFont="1" applyFill="1" applyBorder="1" applyAlignment="1">
      <alignment horizontal="center"/>
    </xf>
    <xf numFmtId="1" fontId="3" fillId="0" borderId="0" xfId="3" applyNumberFormat="1" applyFont="1" applyFill="1" applyBorder="1" applyAlignment="1">
      <alignment horizontal="center"/>
    </xf>
    <xf numFmtId="1" fontId="0" fillId="0" borderId="0" xfId="3" applyNumberFormat="1" applyFont="1" applyBorder="1" applyAlignment="1">
      <alignment horizontal="center"/>
    </xf>
    <xf numFmtId="0" fontId="3" fillId="0" borderId="3" xfId="0" applyFont="1" applyBorder="1" applyAlignment="1">
      <alignment wrapText="1"/>
    </xf>
    <xf numFmtId="0" fontId="7" fillId="0" borderId="0" xfId="0" quotePrefix="1" applyFont="1" applyAlignment="1">
      <alignment horizontal="left"/>
    </xf>
    <xf numFmtId="0" fontId="5" fillId="0" borderId="0" xfId="0" applyFont="1" applyAlignment="1">
      <alignment horizontal="left"/>
    </xf>
    <xf numFmtId="0" fontId="3" fillId="0" borderId="5" xfId="0" applyFont="1" applyBorder="1" applyAlignment="1">
      <alignment horizontal="centerContinuous"/>
    </xf>
    <xf numFmtId="0" fontId="3" fillId="0" borderId="6" xfId="0" applyFont="1" applyBorder="1" applyAlignment="1">
      <alignment horizontal="centerContinuous"/>
    </xf>
    <xf numFmtId="0" fontId="0" fillId="0" borderId="6" xfId="0" applyBorder="1" applyAlignment="1">
      <alignment horizontal="centerContinuous"/>
    </xf>
    <xf numFmtId="0" fontId="3" fillId="0" borderId="8" xfId="0" applyFont="1" applyBorder="1" applyAlignment="1">
      <alignment horizontal="centerContinuous"/>
    </xf>
    <xf numFmtId="0" fontId="3" fillId="0" borderId="0" xfId="0" applyFont="1" applyAlignment="1">
      <alignment wrapText="1"/>
    </xf>
    <xf numFmtId="0" fontId="3" fillId="0" borderId="4" xfId="0" applyFont="1" applyBorder="1" applyAlignment="1">
      <alignment wrapText="1"/>
    </xf>
    <xf numFmtId="0" fontId="0" fillId="0" borderId="1" xfId="0" applyBorder="1" applyAlignment="1">
      <alignment wrapText="1"/>
    </xf>
    <xf numFmtId="0" fontId="0" fillId="0" borderId="2" xfId="0" applyBorder="1" applyAlignment="1">
      <alignment wrapText="1"/>
    </xf>
    <xf numFmtId="40" fontId="21" fillId="7" borderId="9" xfId="1" applyNumberFormat="1" applyFont="1" applyFill="1" applyBorder="1"/>
    <xf numFmtId="40" fontId="5" fillId="7" borderId="9" xfId="1" applyNumberFormat="1" applyFont="1" applyFill="1" applyBorder="1"/>
    <xf numFmtId="40" fontId="2" fillId="7" borderId="9" xfId="1" applyNumberFormat="1" applyFont="1" applyFill="1" applyBorder="1"/>
    <xf numFmtId="0" fontId="5" fillId="0" borderId="0" xfId="0" quotePrefix="1" applyFont="1" applyAlignment="1">
      <alignment horizontal="left"/>
    </xf>
    <xf numFmtId="0" fontId="10" fillId="0" borderId="5" xfId="0" applyFont="1" applyBorder="1" applyAlignment="1">
      <alignment horizontal="center"/>
    </xf>
    <xf numFmtId="0" fontId="10" fillId="0" borderId="6" xfId="0" applyFont="1" applyBorder="1" applyAlignment="1">
      <alignment horizontal="center"/>
    </xf>
    <xf numFmtId="0" fontId="4" fillId="0" borderId="6" xfId="0" applyFont="1" applyBorder="1" applyAlignment="1">
      <alignment horizontal="center"/>
    </xf>
    <xf numFmtId="0" fontId="3" fillId="0" borderId="7" xfId="0" applyFont="1" applyBorder="1" applyAlignment="1">
      <alignment wrapText="1"/>
    </xf>
    <xf numFmtId="0" fontId="2" fillId="0" borderId="0" xfId="0" applyFont="1" applyAlignment="1">
      <alignment vertical="top" wrapText="1"/>
    </xf>
    <xf numFmtId="169" fontId="0" fillId="0" borderId="9" xfId="1" applyNumberFormat="1" applyFont="1" applyBorder="1" applyAlignment="1" applyProtection="1">
      <alignment horizontal="centerContinuous"/>
      <protection locked="0"/>
    </xf>
    <xf numFmtId="40" fontId="0" fillId="0" borderId="9" xfId="1" applyNumberFormat="1" applyFont="1" applyBorder="1" applyAlignment="1" applyProtection="1">
      <alignment horizontal="centerContinuous"/>
      <protection locked="0"/>
    </xf>
    <xf numFmtId="40" fontId="5" fillId="0" borderId="9" xfId="1" applyNumberFormat="1" applyFont="1" applyBorder="1" applyProtection="1">
      <protection locked="0"/>
    </xf>
    <xf numFmtId="40" fontId="2" fillId="0" borderId="9" xfId="1" applyNumberFormat="1" applyFont="1" applyBorder="1" applyProtection="1">
      <protection locked="0"/>
    </xf>
    <xf numFmtId="165" fontId="7" fillId="5" borderId="9" xfId="1" applyNumberFormat="1" applyFont="1" applyFill="1" applyBorder="1" applyProtection="1">
      <protection locked="0"/>
    </xf>
    <xf numFmtId="0" fontId="8" fillId="0" borderId="9" xfId="0" applyFont="1" applyBorder="1" applyAlignment="1" applyProtection="1">
      <alignment horizontal="center"/>
      <protection locked="0"/>
    </xf>
    <xf numFmtId="0" fontId="0" fillId="0" borderId="0" xfId="0" applyProtection="1">
      <protection locked="0"/>
    </xf>
    <xf numFmtId="40" fontId="5" fillId="0" borderId="9" xfId="1" applyNumberFormat="1" applyFont="1" applyFill="1" applyBorder="1" applyProtection="1">
      <protection locked="0"/>
    </xf>
    <xf numFmtId="0" fontId="8" fillId="0" borderId="22" xfId="0" applyFont="1" applyBorder="1" applyAlignment="1" applyProtection="1">
      <alignment horizontal="center"/>
      <protection locked="0"/>
    </xf>
    <xf numFmtId="0" fontId="0" fillId="0" borderId="9" xfId="0" applyBorder="1" applyAlignment="1" applyProtection="1">
      <alignment horizontal="center"/>
      <protection locked="0"/>
    </xf>
    <xf numFmtId="0" fontId="0" fillId="0" borderId="9" xfId="0" applyBorder="1" applyAlignment="1" applyProtection="1">
      <alignment horizontal="centerContinuous"/>
      <protection locked="0"/>
    </xf>
    <xf numFmtId="0" fontId="0" fillId="0" borderId="17" xfId="0" applyBorder="1" applyProtection="1">
      <protection locked="0"/>
    </xf>
    <xf numFmtId="14" fontId="0" fillId="0" borderId="9" xfId="0" applyNumberFormat="1" applyBorder="1" applyAlignment="1" applyProtection="1">
      <alignment horizontal="center"/>
      <protection locked="0"/>
    </xf>
    <xf numFmtId="0" fontId="0" fillId="0" borderId="0" xfId="0" applyAlignment="1" applyProtection="1">
      <alignment vertical="center" wrapText="1"/>
      <protection locked="0"/>
    </xf>
    <xf numFmtId="14" fontId="2" fillId="0" borderId="6" xfId="0" applyNumberFormat="1" applyFont="1" applyBorder="1" applyAlignment="1">
      <alignment horizontal="center"/>
    </xf>
    <xf numFmtId="168" fontId="0" fillId="0" borderId="21" xfId="3" applyNumberFormat="1" applyFont="1" applyBorder="1" applyProtection="1">
      <protection locked="0"/>
    </xf>
    <xf numFmtId="0" fontId="5" fillId="0" borderId="20" xfId="0" applyFont="1" applyBorder="1"/>
    <xf numFmtId="0" fontId="0" fillId="0" borderId="1" xfId="0" quotePrefix="1" applyBorder="1" applyAlignment="1">
      <alignment horizontal="left"/>
    </xf>
    <xf numFmtId="0" fontId="0" fillId="0" borderId="24" xfId="0" applyBorder="1"/>
    <xf numFmtId="0" fontId="0" fillId="0" borderId="25" xfId="0" applyBorder="1"/>
    <xf numFmtId="0" fontId="2" fillId="0" borderId="1" xfId="0" applyFont="1" applyBorder="1"/>
    <xf numFmtId="0" fontId="5" fillId="0" borderId="0" xfId="0" quotePrefix="1" applyFont="1"/>
    <xf numFmtId="0" fontId="15" fillId="0" borderId="3" xfId="0" applyFont="1" applyBorder="1" applyAlignment="1">
      <alignment horizontal="left" wrapText="1"/>
    </xf>
    <xf numFmtId="0" fontId="15" fillId="0" borderId="0" xfId="0" applyFont="1" applyAlignment="1">
      <alignment horizontal="left" wrapText="1"/>
    </xf>
    <xf numFmtId="0" fontId="15" fillId="0" borderId="4" xfId="0" applyFont="1" applyBorder="1" applyAlignment="1">
      <alignment horizontal="left" wrapText="1"/>
    </xf>
    <xf numFmtId="0" fontId="2" fillId="0" borderId="12" xfId="0" applyFont="1" applyBorder="1"/>
    <xf numFmtId="0" fontId="2" fillId="0" borderId="26" xfId="0" applyFont="1" applyBorder="1"/>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0" fillId="0" borderId="27" xfId="0" applyBorder="1" applyAlignment="1">
      <alignment horizontal="left" vertical="top"/>
    </xf>
    <xf numFmtId="0" fontId="0" fillId="0" borderId="0" xfId="0" applyAlignment="1">
      <alignment horizontal="left" vertical="top"/>
    </xf>
    <xf numFmtId="0" fontId="3" fillId="0" borderId="4" xfId="0" applyFont="1" applyBorder="1"/>
    <xf numFmtId="0" fontId="0" fillId="0" borderId="0" xfId="0" applyAlignment="1">
      <alignment vertical="top"/>
    </xf>
    <xf numFmtId="0" fontId="0" fillId="0" borderId="0" xfId="0" quotePrefix="1" applyAlignment="1">
      <alignment horizontal="left" vertical="top"/>
    </xf>
    <xf numFmtId="0" fontId="8" fillId="0" borderId="17" xfId="0" applyFont="1" applyBorder="1" applyAlignment="1" applyProtection="1">
      <alignment horizontal="center" wrapText="1"/>
      <protection locked="0"/>
    </xf>
    <xf numFmtId="14" fontId="10" fillId="0" borderId="20" xfId="0" applyNumberFormat="1" applyFont="1" applyBorder="1" applyAlignment="1" applyProtection="1">
      <alignment horizontal="center" vertical="top" wrapText="1"/>
      <protection locked="0"/>
    </xf>
    <xf numFmtId="49" fontId="5" fillId="0" borderId="0" xfId="0" quotePrefix="1" applyNumberFormat="1" applyFont="1" applyAlignment="1">
      <alignment horizontal="left"/>
    </xf>
    <xf numFmtId="49" fontId="5" fillId="0" borderId="0" xfId="0" quotePrefix="1" applyNumberFormat="1" applyFont="1" applyAlignment="1">
      <alignment horizontal="left" vertical="top"/>
    </xf>
    <xf numFmtId="0" fontId="0" fillId="0" borderId="30" xfId="0" applyBorder="1"/>
    <xf numFmtId="40" fontId="23" fillId="0" borderId="0" xfId="0" applyNumberFormat="1" applyFont="1"/>
    <xf numFmtId="0" fontId="23" fillId="0" borderId="0" xfId="0" applyFont="1"/>
    <xf numFmtId="0" fontId="2" fillId="0" borderId="0" xfId="0" quotePrefix="1" applyFont="1" applyAlignment="1">
      <alignment horizontal="right"/>
    </xf>
    <xf numFmtId="0" fontId="2" fillId="0" borderId="0" xfId="0" applyFont="1" applyAlignment="1">
      <alignment horizontal="right"/>
    </xf>
    <xf numFmtId="172" fontId="2" fillId="0" borderId="23" xfId="0" applyNumberFormat="1" applyFont="1" applyBorder="1" applyProtection="1">
      <protection locked="0"/>
    </xf>
    <xf numFmtId="14" fontId="2" fillId="0" borderId="9" xfId="0" applyNumberFormat="1" applyFont="1" applyBorder="1" applyAlignment="1" applyProtection="1">
      <alignment horizontal="center" vertical="center"/>
      <protection locked="0"/>
    </xf>
    <xf numFmtId="0" fontId="2" fillId="0" borderId="9" xfId="0" applyFont="1" applyBorder="1" applyAlignment="1" applyProtection="1">
      <alignment vertical="center" wrapText="1"/>
      <protection locked="0"/>
    </xf>
    <xf numFmtId="171" fontId="0" fillId="10" borderId="9" xfId="0" applyNumberFormat="1" applyFill="1" applyBorder="1" applyAlignment="1" applyProtection="1">
      <alignment horizontal="centerContinuous"/>
      <protection locked="0"/>
    </xf>
    <xf numFmtId="44" fontId="0" fillId="10" borderId="9" xfId="2" applyFont="1" applyFill="1" applyBorder="1" applyAlignment="1" applyProtection="1">
      <alignment horizontal="centerContinuous"/>
      <protection locked="0"/>
    </xf>
    <xf numFmtId="44" fontId="0" fillId="10" borderId="9" xfId="2" applyFont="1" applyFill="1" applyBorder="1" applyAlignment="1" applyProtection="1">
      <alignment horizontal="center"/>
      <protection locked="0"/>
    </xf>
    <xf numFmtId="168" fontId="0" fillId="10" borderId="9" xfId="3" applyNumberFormat="1" applyFont="1" applyFill="1" applyBorder="1" applyProtection="1">
      <protection locked="0"/>
    </xf>
    <xf numFmtId="171" fontId="0" fillId="0" borderId="9" xfId="0" applyNumberFormat="1" applyBorder="1" applyAlignment="1" applyProtection="1">
      <alignment horizontal="centerContinuous"/>
      <protection locked="0"/>
    </xf>
    <xf numFmtId="0" fontId="0" fillId="0" borderId="17" xfId="0" applyBorder="1" applyAlignment="1" applyProtection="1">
      <alignment horizontal="center"/>
      <protection locked="0"/>
    </xf>
    <xf numFmtId="40" fontId="5" fillId="10" borderId="9" xfId="1" applyNumberFormat="1" applyFont="1" applyFill="1" applyBorder="1" applyProtection="1">
      <protection locked="0"/>
    </xf>
    <xf numFmtId="165" fontId="8" fillId="0" borderId="9" xfId="1" applyNumberFormat="1" applyFont="1" applyFill="1" applyBorder="1" applyProtection="1">
      <protection locked="0"/>
    </xf>
    <xf numFmtId="165" fontId="7" fillId="0" borderId="9" xfId="1" applyNumberFormat="1" applyFont="1" applyFill="1" applyBorder="1" applyProtection="1">
      <protection locked="0"/>
    </xf>
    <xf numFmtId="44" fontId="8" fillId="0" borderId="0" xfId="2" applyFont="1" applyFill="1" applyBorder="1" applyProtection="1">
      <protection locked="0"/>
    </xf>
    <xf numFmtId="40" fontId="5" fillId="0" borderId="9" xfId="1" applyNumberFormat="1" applyFont="1" applyFill="1" applyBorder="1"/>
    <xf numFmtId="44" fontId="8" fillId="10" borderId="9" xfId="2" applyFont="1" applyFill="1" applyBorder="1" applyProtection="1">
      <protection locked="0"/>
    </xf>
    <xf numFmtId="169" fontId="0" fillId="0" borderId="0" xfId="0" applyNumberFormat="1"/>
    <xf numFmtId="172" fontId="2" fillId="10" borderId="23" xfId="0" applyNumberFormat="1" applyFont="1" applyFill="1" applyBorder="1" applyProtection="1">
      <protection locked="0"/>
    </xf>
    <xf numFmtId="0" fontId="2" fillId="2" borderId="31" xfId="0"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5" fillId="0" borderId="31" xfId="0" applyFont="1" applyBorder="1" applyAlignment="1" applyProtection="1">
      <alignment horizontal="left"/>
      <protection locked="0"/>
    </xf>
    <xf numFmtId="0" fontId="0" fillId="0" borderId="21" xfId="0" applyBorder="1" applyAlignment="1" applyProtection="1">
      <alignment horizontal="left"/>
      <protection locked="0"/>
    </xf>
    <xf numFmtId="0" fontId="0" fillId="0" borderId="22" xfId="0" applyBorder="1" applyAlignment="1" applyProtection="1">
      <alignment horizontal="left"/>
      <protection locked="0"/>
    </xf>
    <xf numFmtId="0" fontId="13" fillId="0" borderId="17"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5" fillId="0" borderId="27" xfId="0" quotePrefix="1" applyFont="1" applyBorder="1" applyAlignment="1">
      <alignment horizontal="left" wrapText="1"/>
    </xf>
    <xf numFmtId="0" fontId="0" fillId="0" borderId="27" xfId="0" quotePrefix="1" applyBorder="1" applyAlignment="1">
      <alignment horizontal="left" wrapText="1"/>
    </xf>
    <xf numFmtId="0" fontId="0" fillId="0" borderId="28" xfId="0" quotePrefix="1" applyBorder="1" applyAlignment="1">
      <alignment horizontal="left" wrapText="1"/>
    </xf>
    <xf numFmtId="0" fontId="2" fillId="0" borderId="0" xfId="0" applyFont="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5" fillId="0" borderId="0" xfId="0" quotePrefix="1" applyFont="1" applyAlignment="1">
      <alignment horizontal="left" wrapText="1"/>
    </xf>
    <xf numFmtId="0" fontId="0" fillId="0" borderId="0" xfId="0" quotePrefix="1" applyAlignment="1">
      <alignment horizontal="left" wrapText="1"/>
    </xf>
    <xf numFmtId="0" fontId="0" fillId="0" borderId="4" xfId="0" quotePrefix="1" applyBorder="1" applyAlignment="1">
      <alignment horizontal="left" wrapText="1"/>
    </xf>
    <xf numFmtId="0" fontId="17" fillId="0" borderId="32" xfId="0" quotePrefix="1" applyFont="1" applyBorder="1" applyAlignment="1">
      <alignment horizontal="left" vertical="center" wrapText="1"/>
    </xf>
    <xf numFmtId="0" fontId="17" fillId="0" borderId="33" xfId="0" quotePrefix="1" applyFont="1" applyBorder="1" applyAlignment="1">
      <alignment horizontal="left" vertical="center" wrapText="1"/>
    </xf>
    <xf numFmtId="0" fontId="17" fillId="0" borderId="34" xfId="0" quotePrefix="1" applyFont="1" applyBorder="1" applyAlignment="1">
      <alignment horizontal="left" vertical="center" wrapText="1"/>
    </xf>
    <xf numFmtId="0" fontId="17" fillId="0" borderId="35" xfId="0" quotePrefix="1" applyFont="1" applyBorder="1" applyAlignment="1">
      <alignment horizontal="left" vertical="center" wrapText="1"/>
    </xf>
    <xf numFmtId="0" fontId="17" fillId="0" borderId="0" xfId="0" quotePrefix="1" applyFont="1" applyAlignment="1">
      <alignment horizontal="left" vertical="center" wrapText="1"/>
    </xf>
    <xf numFmtId="0" fontId="17" fillId="0" borderId="36" xfId="0" quotePrefix="1" applyFont="1" applyBorder="1" applyAlignment="1">
      <alignment horizontal="left" vertical="center" wrapText="1"/>
    </xf>
    <xf numFmtId="0" fontId="17" fillId="0" borderId="37" xfId="0" quotePrefix="1" applyFont="1" applyBorder="1" applyAlignment="1">
      <alignment horizontal="left" vertical="center" wrapText="1"/>
    </xf>
    <xf numFmtId="0" fontId="11" fillId="0" borderId="31"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2" fillId="0" borderId="0" xfId="0" applyFont="1" applyAlignment="1">
      <alignment horizontal="left" wrapText="1"/>
    </xf>
    <xf numFmtId="0" fontId="2" fillId="0" borderId="4" xfId="0" applyFont="1" applyBorder="1" applyAlignment="1">
      <alignment horizontal="left" wrapText="1"/>
    </xf>
    <xf numFmtId="0" fontId="0" fillId="0" borderId="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 fillId="0" borderId="4" xfId="0" applyFont="1" applyBorder="1" applyAlignment="1">
      <alignment horizontal="left" vertical="top" wrapText="1"/>
    </xf>
    <xf numFmtId="44" fontId="2" fillId="2" borderId="31" xfId="2" applyFont="1" applyFill="1" applyBorder="1" applyAlignment="1">
      <alignment horizontal="center"/>
    </xf>
    <xf numFmtId="44" fontId="2" fillId="2" borderId="22" xfId="2" applyFont="1" applyFill="1" applyBorder="1" applyAlignment="1">
      <alignment horizontal="center"/>
    </xf>
    <xf numFmtId="0" fontId="2" fillId="0" borderId="0" xfId="0" applyFont="1" applyAlignment="1">
      <alignment wrapText="1"/>
    </xf>
    <xf numFmtId="0" fontId="8" fillId="0" borderId="17" xfId="0" quotePrefix="1"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2" fillId="0" borderId="0" xfId="0" applyFont="1" applyAlignment="1">
      <alignment vertical="center" wrapText="1"/>
    </xf>
    <xf numFmtId="0" fontId="2" fillId="0" borderId="6" xfId="0" applyFont="1" applyBorder="1" applyAlignment="1">
      <alignment vertical="center" wrapText="1"/>
    </xf>
    <xf numFmtId="0" fontId="8" fillId="0" borderId="7" xfId="0" applyFont="1" applyBorder="1" applyAlignment="1" applyProtection="1">
      <alignment horizontal="left" vertical="center" wrapText="1"/>
      <protection locked="0"/>
    </xf>
    <xf numFmtId="0" fontId="11" fillId="0" borderId="31" xfId="0" quotePrefix="1" applyFont="1" applyBorder="1" applyAlignment="1" applyProtection="1">
      <alignment horizontal="center"/>
      <protection locked="0"/>
    </xf>
    <xf numFmtId="0" fontId="11" fillId="0" borderId="21" xfId="0" quotePrefix="1" applyFont="1" applyBorder="1" applyAlignment="1" applyProtection="1">
      <alignment horizontal="center"/>
      <protection locked="0"/>
    </xf>
    <xf numFmtId="0" fontId="11" fillId="0" borderId="22" xfId="0" quotePrefix="1" applyFont="1" applyBorder="1" applyAlignment="1" applyProtection="1">
      <alignment horizontal="center"/>
      <protection locked="0"/>
    </xf>
    <xf numFmtId="0" fontId="2" fillId="0" borderId="7" xfId="0" applyFont="1" applyBorder="1" applyAlignment="1" applyProtection="1">
      <alignment horizontal="left" vertical="center" wrapText="1"/>
      <protection locked="0"/>
    </xf>
    <xf numFmtId="0" fontId="0" fillId="0" borderId="7" xfId="0" quotePrefix="1" applyBorder="1" applyAlignment="1" applyProtection="1">
      <alignment horizontal="left" vertical="center" wrapText="1"/>
      <protection locked="0"/>
    </xf>
    <xf numFmtId="0" fontId="0" fillId="0" borderId="1" xfId="0" quotePrefix="1" applyBorder="1" applyAlignment="1" applyProtection="1">
      <alignment horizontal="left" vertical="center" wrapText="1"/>
      <protection locked="0"/>
    </xf>
    <xf numFmtId="0" fontId="0" fillId="0" borderId="2" xfId="0" quotePrefix="1" applyBorder="1" applyAlignment="1" applyProtection="1">
      <alignment horizontal="left" vertical="center" wrapText="1"/>
      <protection locked="0"/>
    </xf>
    <xf numFmtId="0" fontId="0" fillId="0" borderId="3" xfId="0" quotePrefix="1" applyBorder="1" applyAlignment="1" applyProtection="1">
      <alignment horizontal="left" vertical="center" wrapText="1"/>
      <protection locked="0"/>
    </xf>
    <xf numFmtId="0" fontId="0" fillId="0" borderId="0" xfId="0" quotePrefix="1" applyAlignment="1" applyProtection="1">
      <alignment horizontal="left" vertical="center" wrapText="1"/>
      <protection locked="0"/>
    </xf>
    <xf numFmtId="0" fontId="0" fillId="0" borderId="4" xfId="0" quotePrefix="1" applyBorder="1" applyAlignment="1" applyProtection="1">
      <alignment horizontal="left" vertical="center" wrapText="1"/>
      <protection locked="0"/>
    </xf>
    <xf numFmtId="0" fontId="0" fillId="0" borderId="5" xfId="0" quotePrefix="1" applyBorder="1" applyAlignment="1" applyProtection="1">
      <alignment horizontal="left" vertical="center" wrapText="1"/>
      <protection locked="0"/>
    </xf>
    <xf numFmtId="0" fontId="0" fillId="0" borderId="6" xfId="0" quotePrefix="1" applyBorder="1" applyAlignment="1" applyProtection="1">
      <alignment horizontal="left" vertical="center" wrapText="1"/>
      <protection locked="0"/>
    </xf>
    <xf numFmtId="0" fontId="0" fillId="0" borderId="8" xfId="0" quotePrefix="1" applyBorder="1" applyAlignment="1" applyProtection="1">
      <alignment horizontal="left" vertical="center" wrapText="1"/>
      <protection locked="0"/>
    </xf>
    <xf numFmtId="0" fontId="16" fillId="0" borderId="0" xfId="0" quotePrefix="1" applyFont="1" applyAlignment="1">
      <alignment horizontal="left"/>
    </xf>
    <xf numFmtId="0" fontId="16" fillId="0" borderId="4" xfId="0" quotePrefix="1" applyFont="1" applyBorder="1" applyAlignment="1">
      <alignment horizontal="left"/>
    </xf>
    <xf numFmtId="0" fontId="2" fillId="0" borderId="0" xfId="0" applyFont="1"/>
    <xf numFmtId="0" fontId="2" fillId="0" borderId="15" xfId="0" quotePrefix="1" applyFont="1" applyBorder="1" applyAlignment="1">
      <alignment horizontal="left" vertical="top" wrapText="1"/>
    </xf>
    <xf numFmtId="0" fontId="2" fillId="0" borderId="10" xfId="0" quotePrefix="1" applyFont="1" applyBorder="1" applyAlignment="1">
      <alignment horizontal="left" vertical="top" wrapText="1"/>
    </xf>
    <xf numFmtId="0" fontId="2" fillId="0" borderId="11" xfId="0" quotePrefix="1" applyFont="1" applyBorder="1" applyAlignment="1">
      <alignment horizontal="left" vertical="top" wrapText="1"/>
    </xf>
    <xf numFmtId="0" fontId="2" fillId="0" borderId="12" xfId="0" quotePrefix="1" applyFont="1" applyBorder="1" applyAlignment="1">
      <alignment horizontal="left" vertical="top" wrapText="1"/>
    </xf>
    <xf numFmtId="0" fontId="2" fillId="0" borderId="0" xfId="0" quotePrefix="1" applyFont="1" applyAlignment="1">
      <alignment horizontal="left" vertical="top" wrapText="1"/>
    </xf>
    <xf numFmtId="0" fontId="2" fillId="0" borderId="13" xfId="0" quotePrefix="1" applyFont="1" applyBorder="1" applyAlignment="1">
      <alignment horizontal="left" vertical="top" wrapText="1"/>
    </xf>
    <xf numFmtId="0" fontId="2" fillId="0" borderId="0" xfId="0" applyFont="1" applyAlignment="1">
      <alignment horizontal="left" vertical="center" wrapText="1"/>
    </xf>
    <xf numFmtId="0" fontId="0" fillId="0" borderId="6" xfId="0" applyBorder="1" applyAlignment="1">
      <alignment horizontal="left" vertical="center" wrapText="1"/>
    </xf>
    <xf numFmtId="14" fontId="2" fillId="0" borderId="17" xfId="0" applyNumberFormat="1" applyFont="1" applyBorder="1" applyAlignment="1">
      <alignment horizontal="center" vertical="center"/>
    </xf>
    <xf numFmtId="14" fontId="2" fillId="0" borderId="30" xfId="0" applyNumberFormat="1" applyFont="1" applyBorder="1" applyAlignment="1">
      <alignment horizontal="center" vertical="center"/>
    </xf>
    <xf numFmtId="14" fontId="2" fillId="0" borderId="20" xfId="0" applyNumberFormat="1" applyFont="1" applyBorder="1" applyAlignment="1">
      <alignment horizontal="center" vertical="center"/>
    </xf>
    <xf numFmtId="0" fontId="8" fillId="0" borderId="6" xfId="0" applyFont="1" applyBorder="1" applyAlignment="1">
      <alignment horizontal="left" vertical="center" wrapText="1"/>
    </xf>
    <xf numFmtId="0" fontId="5" fillId="0" borderId="24"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2" fillId="0" borderId="6" xfId="0" applyFont="1" applyBorder="1" applyAlignment="1">
      <alignment horizontal="left" vertical="center" wrapText="1"/>
    </xf>
    <xf numFmtId="9" fontId="2" fillId="0" borderId="31" xfId="0" applyNumberFormat="1" applyFont="1" applyBorder="1" applyAlignment="1" applyProtection="1">
      <alignment horizontal="right"/>
      <protection locked="0"/>
    </xf>
    <xf numFmtId="9" fontId="2" fillId="0" borderId="22" xfId="0" applyNumberFormat="1" applyFont="1" applyBorder="1" applyAlignment="1" applyProtection="1">
      <alignment horizontal="right"/>
      <protection locked="0"/>
    </xf>
    <xf numFmtId="170" fontId="0" fillId="0" borderId="6" xfId="0" applyNumberFormat="1" applyBorder="1" applyAlignment="1" applyProtection="1">
      <alignment horizontal="center"/>
      <protection locked="0"/>
    </xf>
    <xf numFmtId="170" fontId="0" fillId="0" borderId="38" xfId="0" applyNumberFormat="1" applyBorder="1" applyAlignment="1" applyProtection="1">
      <alignment horizontal="center"/>
      <protection locked="0"/>
    </xf>
    <xf numFmtId="0" fontId="2" fillId="0" borderId="3" xfId="0" quotePrefix="1" applyFont="1" applyBorder="1" applyAlignment="1">
      <alignment horizontal="lef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2" fillId="0" borderId="7" xfId="0" quotePrefix="1"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44" fontId="0" fillId="2" borderId="31" xfId="2" applyFont="1" applyFill="1" applyBorder="1" applyAlignment="1">
      <alignment horizontal="center"/>
    </xf>
    <xf numFmtId="44" fontId="0" fillId="2" borderId="22" xfId="2" applyFont="1" applyFill="1" applyBorder="1" applyAlignment="1">
      <alignment horizontal="center"/>
    </xf>
    <xf numFmtId="0" fontId="2" fillId="0" borderId="27" xfId="0" quotePrefix="1" applyFont="1" applyBorder="1" applyAlignment="1">
      <alignment horizontal="left" wrapText="1"/>
    </xf>
    <xf numFmtId="0" fontId="2" fillId="0" borderId="28" xfId="0" quotePrefix="1" applyFont="1" applyBorder="1" applyAlignment="1">
      <alignment horizontal="left" wrapText="1"/>
    </xf>
    <xf numFmtId="0" fontId="16" fillId="0" borderId="0" xfId="0" quotePrefix="1" applyFont="1" applyAlignment="1">
      <alignment horizontal="left" wrapText="1"/>
    </xf>
    <xf numFmtId="0" fontId="0" fillId="10" borderId="7" xfId="0" applyFill="1" applyBorder="1" applyAlignment="1" applyProtection="1">
      <alignment horizontal="left" vertical="center" wrapText="1"/>
      <protection locked="0"/>
    </xf>
    <xf numFmtId="0" fontId="0" fillId="10" borderId="1" xfId="0" applyFill="1" applyBorder="1" applyAlignment="1" applyProtection="1">
      <alignment horizontal="left" vertical="center" wrapText="1"/>
      <protection locked="0"/>
    </xf>
    <xf numFmtId="0" fontId="0" fillId="10" borderId="2" xfId="0" applyFill="1" applyBorder="1" applyAlignment="1" applyProtection="1">
      <alignment horizontal="left" vertical="center" wrapText="1"/>
      <protection locked="0"/>
    </xf>
    <xf numFmtId="0" fontId="0" fillId="10" borderId="3" xfId="0" applyFill="1" applyBorder="1" applyAlignment="1" applyProtection="1">
      <alignment horizontal="left" vertical="center" wrapText="1"/>
      <protection locked="0"/>
    </xf>
    <xf numFmtId="0" fontId="0" fillId="10" borderId="0" xfId="0" applyFill="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0" fillId="10" borderId="6" xfId="0" applyFill="1" applyBorder="1" applyAlignment="1" applyProtection="1">
      <alignment horizontal="left" vertical="center" wrapText="1"/>
      <protection locked="0"/>
    </xf>
    <xf numFmtId="0" fontId="0" fillId="10" borderId="8" xfId="0" applyFill="1" applyBorder="1" applyAlignment="1" applyProtection="1">
      <alignment horizontal="left" vertical="center" wrapText="1"/>
      <protection locked="0"/>
    </xf>
    <xf numFmtId="0" fontId="5" fillId="0" borderId="0" xfId="0" applyFont="1" applyAlignment="1">
      <alignment horizontal="left" vertical="top" wrapText="1"/>
    </xf>
    <xf numFmtId="0" fontId="16" fillId="0" borderId="4" xfId="0" quotePrefix="1" applyFont="1" applyBorder="1" applyAlignment="1">
      <alignment horizontal="left" wrapText="1"/>
    </xf>
    <xf numFmtId="0" fontId="0" fillId="0" borderId="31"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5" fillId="10" borderId="31" xfId="0" applyFont="1" applyFill="1" applyBorder="1" applyAlignment="1" applyProtection="1">
      <alignment horizontal="left"/>
      <protection locked="0"/>
    </xf>
    <xf numFmtId="0" fontId="0" fillId="10" borderId="21" xfId="0" applyFill="1" applyBorder="1" applyAlignment="1" applyProtection="1">
      <alignment horizontal="left"/>
      <protection locked="0"/>
    </xf>
    <xf numFmtId="0" fontId="0" fillId="10" borderId="22" xfId="0" applyFill="1" applyBorder="1" applyAlignment="1" applyProtection="1">
      <alignment horizontal="left"/>
      <protection locked="0"/>
    </xf>
    <xf numFmtId="0" fontId="2" fillId="0" borderId="7"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wrapText="1"/>
    </xf>
    <xf numFmtId="0" fontId="0" fillId="0" borderId="4" xfId="0" applyBorder="1" applyAlignment="1">
      <alignment wrapText="1"/>
    </xf>
    <xf numFmtId="0" fontId="16" fillId="0" borderId="3" xfId="0" quotePrefix="1" applyFont="1" applyBorder="1" applyAlignment="1">
      <alignment horizontal="left" wrapText="1"/>
    </xf>
    <xf numFmtId="0" fontId="16" fillId="0" borderId="0" xfId="0" applyFont="1" applyAlignment="1">
      <alignment wrapText="1"/>
    </xf>
    <xf numFmtId="0" fontId="16" fillId="0" borderId="4" xfId="0" applyFont="1" applyBorder="1" applyAlignment="1">
      <alignment wrapText="1"/>
    </xf>
    <xf numFmtId="0" fontId="16" fillId="0" borderId="3" xfId="0" applyFont="1" applyBorder="1" applyAlignment="1">
      <alignment wrapText="1"/>
    </xf>
    <xf numFmtId="0" fontId="2" fillId="0" borderId="6" xfId="0" applyFont="1" applyBorder="1" applyAlignment="1">
      <alignment horizontal="left" wrapText="1"/>
    </xf>
    <xf numFmtId="0" fontId="0" fillId="0" borderId="0" xfId="0"/>
    <xf numFmtId="0" fontId="5" fillId="0" borderId="7" xfId="0" applyFont="1" applyBorder="1" applyAlignment="1" applyProtection="1">
      <alignment horizontal="left" vertical="center" wrapText="1"/>
      <protection locked="0"/>
    </xf>
    <xf numFmtId="0" fontId="5" fillId="0" borderId="7" xfId="0" applyFont="1" applyBorder="1" applyAlignment="1" applyProtection="1">
      <alignment vertical="center" wrapText="1"/>
      <protection locked="0"/>
    </xf>
    <xf numFmtId="0" fontId="2" fillId="2" borderId="9" xfId="0" applyFont="1" applyFill="1" applyBorder="1" applyAlignment="1">
      <alignment horizontal="center"/>
    </xf>
    <xf numFmtId="0" fontId="7" fillId="0" borderId="0" xfId="0" quotePrefix="1" applyFont="1" applyAlignment="1">
      <alignment horizontal="left" vertical="center" wrapText="1"/>
    </xf>
    <xf numFmtId="0" fontId="22" fillId="0" borderId="0" xfId="0" quotePrefix="1" applyFont="1" applyAlignment="1">
      <alignment horizontal="left" vertical="center" wrapText="1"/>
    </xf>
    <xf numFmtId="0" fontId="22" fillId="0" borderId="4" xfId="0" quotePrefix="1" applyFont="1" applyBorder="1" applyAlignment="1">
      <alignment horizontal="left" vertical="center" wrapText="1"/>
    </xf>
    <xf numFmtId="0" fontId="2" fillId="0" borderId="0" xfId="0" quotePrefix="1" applyFont="1" applyAlignment="1">
      <alignment horizontal="left" wrapText="1"/>
    </xf>
    <xf numFmtId="0" fontId="0" fillId="0" borderId="6" xfId="0" applyBorder="1" applyAlignment="1">
      <alignment horizontal="left" wrapText="1"/>
    </xf>
    <xf numFmtId="170" fontId="0" fillId="0" borderId="5" xfId="0" applyNumberFormat="1" applyBorder="1" applyAlignment="1">
      <alignment horizontal="center"/>
    </xf>
    <xf numFmtId="170" fontId="0" fillId="0" borderId="6" xfId="0" applyNumberFormat="1" applyBorder="1" applyAlignment="1">
      <alignment horizontal="center"/>
    </xf>
    <xf numFmtId="0" fontId="2" fillId="0" borderId="5" xfId="0" applyFont="1" applyBorder="1"/>
    <xf numFmtId="0" fontId="2" fillId="0" borderId="6" xfId="0" applyFont="1" applyBorder="1"/>
    <xf numFmtId="0" fontId="3" fillId="0" borderId="6" xfId="0" applyFont="1" applyBorder="1"/>
    <xf numFmtId="0" fontId="3" fillId="0" borderId="8" xfId="0" applyFont="1" applyBorder="1"/>
    <xf numFmtId="0" fontId="2" fillId="0" borderId="15"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3" fillId="0" borderId="1" xfId="0" applyFont="1" applyBorder="1" applyAlignment="1">
      <alignment horizontal="center"/>
    </xf>
    <xf numFmtId="0" fontId="3" fillId="0" borderId="25" xfId="0" applyFont="1" applyBorder="1" applyAlignment="1">
      <alignment horizontal="center"/>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41" xfId="0" applyFont="1" applyBorder="1" applyAlignment="1">
      <alignment horizontal="center" vertical="top"/>
    </xf>
    <xf numFmtId="0" fontId="3" fillId="0" borderId="24" xfId="0" applyFont="1" applyBorder="1" applyAlignment="1">
      <alignment horizontal="center"/>
    </xf>
    <xf numFmtId="0" fontId="3" fillId="0" borderId="3" xfId="0" applyFont="1" applyBorder="1"/>
    <xf numFmtId="0" fontId="3" fillId="0" borderId="0" xfId="0" applyFont="1"/>
    <xf numFmtId="0" fontId="3" fillId="0" borderId="4" xfId="0" applyFont="1" applyBorder="1"/>
    <xf numFmtId="14" fontId="2" fillId="8" borderId="6" xfId="0" applyNumberFormat="1" applyFont="1" applyFill="1" applyBorder="1" applyAlignment="1">
      <alignment horizontal="center"/>
    </xf>
    <xf numFmtId="0" fontId="2" fillId="8" borderId="6" xfId="0" applyFont="1" applyFill="1" applyBorder="1" applyAlignment="1">
      <alignment horizontal="center"/>
    </xf>
    <xf numFmtId="0" fontId="3" fillId="0" borderId="3"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167" fontId="3" fillId="2" borderId="31" xfId="3" applyNumberFormat="1" applyFont="1" applyFill="1" applyBorder="1" applyAlignment="1">
      <alignment horizontal="center"/>
    </xf>
    <xf numFmtId="167" fontId="0" fillId="0" borderId="22" xfId="3" applyNumberFormat="1" applyFont="1" applyBorder="1" applyAlignment="1">
      <alignment horizontal="center"/>
    </xf>
    <xf numFmtId="169" fontId="3" fillId="2" borderId="31" xfId="2" applyNumberFormat="1" applyFont="1" applyFill="1" applyBorder="1" applyAlignment="1">
      <alignment horizontal="center"/>
    </xf>
    <xf numFmtId="169" fontId="0" fillId="0" borderId="22" xfId="0" applyNumberFormat="1" applyBorder="1" applyAlignment="1">
      <alignment horizontal="center"/>
    </xf>
    <xf numFmtId="8" fontId="3" fillId="2" borderId="31" xfId="2" applyNumberFormat="1" applyFont="1" applyFill="1" applyBorder="1" applyAlignment="1">
      <alignment horizontal="center"/>
    </xf>
    <xf numFmtId="8" fontId="0" fillId="0" borderId="22" xfId="0" applyNumberFormat="1" applyBorder="1" applyAlignment="1">
      <alignment horizontal="center"/>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8" xfId="0" applyFont="1" applyFill="1" applyBorder="1" applyAlignment="1">
      <alignment horizontal="left" vertical="center" wrapText="1"/>
    </xf>
    <xf numFmtId="168" fontId="3" fillId="2" borderId="31" xfId="2" applyNumberFormat="1" applyFont="1" applyFill="1" applyBorder="1" applyAlignment="1">
      <alignment horizontal="center"/>
    </xf>
    <xf numFmtId="168" fontId="0" fillId="0" borderId="22" xfId="0" applyNumberFormat="1" applyBorder="1" applyAlignment="1">
      <alignment horizontal="center"/>
    </xf>
    <xf numFmtId="8" fontId="3" fillId="0" borderId="22" xfId="0" applyNumberFormat="1" applyFont="1" applyBorder="1" applyAlignment="1">
      <alignment horizontal="center"/>
    </xf>
    <xf numFmtId="1" fontId="3" fillId="2" borderId="31" xfId="3" applyNumberFormat="1" applyFont="1" applyFill="1" applyBorder="1" applyAlignment="1">
      <alignment horizontal="center"/>
    </xf>
    <xf numFmtId="1" fontId="0" fillId="0" borderId="22" xfId="3" applyNumberFormat="1" applyFont="1" applyBorder="1" applyAlignment="1">
      <alignment horizontal="center"/>
    </xf>
    <xf numFmtId="166" fontId="3" fillId="2" borderId="31" xfId="3" applyNumberFormat="1" applyFont="1" applyFill="1" applyBorder="1" applyAlignment="1">
      <alignment horizontal="center"/>
    </xf>
    <xf numFmtId="0" fontId="0" fillId="0" borderId="22" xfId="0" applyBorder="1" applyAlignment="1">
      <alignment horizontal="center"/>
    </xf>
    <xf numFmtId="0" fontId="5" fillId="0" borderId="0" xfId="0" applyFont="1" applyAlignment="1">
      <alignment horizontal="left" wrapText="1"/>
    </xf>
    <xf numFmtId="0" fontId="0" fillId="0" borderId="0" xfId="0" applyAlignment="1">
      <alignment horizontal="left" wrapText="1"/>
    </xf>
    <xf numFmtId="169" fontId="0" fillId="0" borderId="22" xfId="2" applyNumberFormat="1" applyFont="1" applyBorder="1" applyAlignment="1">
      <alignment horizontal="center"/>
    </xf>
    <xf numFmtId="9" fontId="3" fillId="2" borderId="31" xfId="3" applyFont="1" applyFill="1" applyBorder="1" applyAlignment="1">
      <alignment horizontal="center"/>
    </xf>
    <xf numFmtId="9" fontId="0" fillId="0" borderId="22" xfId="3" applyFont="1" applyBorder="1" applyAlignment="1">
      <alignment horizontal="center"/>
    </xf>
    <xf numFmtId="0" fontId="0" fillId="0" borderId="4" xfId="0" applyBorder="1" applyAlignment="1">
      <alignment horizontal="left" wrapText="1"/>
    </xf>
    <xf numFmtId="0" fontId="2" fillId="0" borderId="1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27" xfId="0" applyFont="1" applyBorder="1" applyAlignment="1">
      <alignment horizontal="center"/>
    </xf>
    <xf numFmtId="0" fontId="2" fillId="0" borderId="42" xfId="0" applyFont="1" applyBorder="1" applyAlignment="1">
      <alignment horizontal="center"/>
    </xf>
    <xf numFmtId="0" fontId="3" fillId="2" borderId="31" xfId="0" applyFont="1" applyFill="1" applyBorder="1" applyAlignment="1">
      <alignment horizontal="center"/>
    </xf>
    <xf numFmtId="0" fontId="0" fillId="0" borderId="21" xfId="0" applyBorder="1" applyAlignment="1">
      <alignment horizontal="center"/>
    </xf>
    <xf numFmtId="164" fontId="3" fillId="2" borderId="31" xfId="0" applyNumberFormat="1" applyFont="1" applyFill="1" applyBorder="1" applyAlignment="1">
      <alignment horizontal="center"/>
    </xf>
    <xf numFmtId="164" fontId="3" fillId="2" borderId="22" xfId="0" applyNumberFormat="1" applyFont="1" applyFill="1" applyBorder="1" applyAlignment="1">
      <alignment horizontal="center"/>
    </xf>
    <xf numFmtId="164" fontId="3" fillId="2" borderId="9" xfId="0" applyNumberFormat="1" applyFont="1" applyFill="1" applyBorder="1" applyAlignment="1">
      <alignment horizontal="center"/>
    </xf>
    <xf numFmtId="0" fontId="0" fillId="0" borderId="9" xfId="0" applyBorder="1" applyAlignment="1">
      <alignment horizontal="center"/>
    </xf>
    <xf numFmtId="10" fontId="3" fillId="2" borderId="31" xfId="3" applyNumberFormat="1" applyFont="1" applyFill="1" applyBorder="1" applyAlignment="1">
      <alignment horizontal="center"/>
    </xf>
    <xf numFmtId="10" fontId="0" fillId="0" borderId="22" xfId="3" applyNumberFormat="1" applyFont="1" applyBorder="1" applyAlignment="1">
      <alignment horizontal="center"/>
    </xf>
    <xf numFmtId="0" fontId="3" fillId="9" borderId="9" xfId="0" applyFont="1" applyFill="1" applyBorder="1" applyAlignment="1">
      <alignment horizontal="center"/>
    </xf>
    <xf numFmtId="43" fontId="3" fillId="2" borderId="31" xfId="1" applyFont="1" applyFill="1" applyBorder="1" applyAlignment="1"/>
    <xf numFmtId="43" fontId="0" fillId="0" borderId="22" xfId="1" applyFont="1" applyBorder="1" applyAlignment="1"/>
    <xf numFmtId="0" fontId="10" fillId="0" borderId="5" xfId="0" applyFont="1" applyBorder="1" applyAlignment="1">
      <alignment horizontal="center"/>
    </xf>
    <xf numFmtId="0" fontId="10" fillId="0" borderId="6" xfId="0"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2" xfId="0" applyFont="1" applyBorder="1" applyAlignment="1">
      <alignment horizontal="center"/>
    </xf>
    <xf numFmtId="0" fontId="0" fillId="0" borderId="6" xfId="0" applyBorder="1" applyAlignment="1" applyProtection="1">
      <alignment horizontal="center"/>
      <protection locked="0"/>
    </xf>
    <xf numFmtId="0" fontId="0" fillId="0" borderId="8" xfId="0" applyBorder="1" applyAlignment="1" applyProtection="1">
      <alignment horizontal="center"/>
      <protection locked="0"/>
    </xf>
    <xf numFmtId="0" fontId="3" fillId="0" borderId="7" xfId="0" applyFont="1" applyBorder="1" applyAlignment="1">
      <alignment horizontal="center"/>
    </xf>
    <xf numFmtId="0" fontId="3" fillId="0" borderId="3" xfId="0" quotePrefix="1" applyFont="1" applyBorder="1" applyAlignment="1">
      <alignment horizontal="left" vertical="center" wrapText="1"/>
    </xf>
    <xf numFmtId="0" fontId="3" fillId="0" borderId="0" xfId="0" quotePrefix="1" applyFont="1" applyAlignment="1">
      <alignment horizontal="left" vertical="center" wrapText="1"/>
    </xf>
    <xf numFmtId="0" fontId="3" fillId="0" borderId="4"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6" xfId="0" quotePrefix="1" applyFont="1" applyBorder="1" applyAlignment="1">
      <alignment horizontal="left" vertical="center" wrapText="1"/>
    </xf>
    <xf numFmtId="0" fontId="3" fillId="0" borderId="8" xfId="0" quotePrefix="1" applyFont="1" applyBorder="1" applyAlignment="1">
      <alignment horizontal="left" vertical="center" wrapText="1"/>
    </xf>
    <xf numFmtId="0" fontId="15" fillId="6" borderId="3"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4" xfId="0" applyFont="1"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407"/>
  <sheetViews>
    <sheetView showGridLines="0" tabSelected="1" zoomScaleNormal="100" zoomScalePageLayoutView="150" workbookViewId="0">
      <selection activeCell="I324" sqref="I324"/>
    </sheetView>
  </sheetViews>
  <sheetFormatPr defaultRowHeight="13" x14ac:dyDescent="0.3"/>
  <cols>
    <col min="1" max="1" width="10.26953125" style="9" customWidth="1"/>
    <col min="3" max="3" width="5.26953125" customWidth="1"/>
    <col min="4" max="4" width="9.453125" customWidth="1"/>
    <col min="5" max="5" width="17.54296875" customWidth="1"/>
    <col min="6" max="6" width="16.54296875" customWidth="1"/>
    <col min="7" max="7" width="16.26953125" customWidth="1"/>
    <col min="8" max="8" width="20.54296875" customWidth="1"/>
    <col min="9" max="9" width="14.54296875" customWidth="1"/>
  </cols>
  <sheetData>
    <row r="1" spans="1:8" ht="12.5" x14ac:dyDescent="0.25">
      <c r="A1" s="316" t="s">
        <v>266</v>
      </c>
      <c r="B1" s="317"/>
      <c r="C1" s="317"/>
      <c r="D1" s="317"/>
      <c r="E1" s="317"/>
      <c r="F1" s="317"/>
      <c r="G1" s="317"/>
      <c r="H1" s="318"/>
    </row>
    <row r="2" spans="1:8" ht="12.5" x14ac:dyDescent="0.25">
      <c r="A2" s="312"/>
      <c r="B2" s="265"/>
      <c r="C2" s="265"/>
      <c r="D2" s="265"/>
      <c r="E2" s="265"/>
      <c r="F2" s="265"/>
      <c r="G2" s="265"/>
      <c r="H2" s="311"/>
    </row>
    <row r="3" spans="1:8" ht="12.5" x14ac:dyDescent="0.25">
      <c r="A3" s="312"/>
      <c r="B3" s="265"/>
      <c r="C3" s="265"/>
      <c r="D3" s="265"/>
      <c r="E3" s="265"/>
      <c r="F3" s="265"/>
      <c r="G3" s="265"/>
      <c r="H3" s="311"/>
    </row>
    <row r="4" spans="1:8" ht="3" customHeight="1" x14ac:dyDescent="0.25">
      <c r="A4" s="319"/>
      <c r="B4" s="266"/>
      <c r="C4" s="266"/>
      <c r="D4" s="266"/>
      <c r="E4" s="266"/>
      <c r="F4" s="266"/>
      <c r="G4" s="266"/>
      <c r="H4" s="320"/>
    </row>
    <row r="5" spans="1:8" ht="6" customHeight="1" x14ac:dyDescent="0.3">
      <c r="A5" s="80"/>
      <c r="B5" s="10"/>
      <c r="C5" s="10"/>
      <c r="D5" s="10"/>
      <c r="E5" s="10"/>
      <c r="F5" s="10"/>
      <c r="G5" s="10"/>
      <c r="H5" s="10"/>
    </row>
    <row r="6" spans="1:8" x14ac:dyDescent="0.3">
      <c r="A6" s="14" t="s">
        <v>43</v>
      </c>
      <c r="B6" s="11"/>
      <c r="C6" s="11"/>
      <c r="D6" s="11"/>
      <c r="E6" s="11"/>
      <c r="F6" s="11"/>
      <c r="G6" s="11"/>
      <c r="H6" s="11"/>
    </row>
    <row r="7" spans="1:8" x14ac:dyDescent="0.3">
      <c r="A7" s="14"/>
      <c r="B7" s="11"/>
      <c r="C7" s="11"/>
      <c r="D7" s="11"/>
      <c r="E7" s="11"/>
      <c r="F7" s="11"/>
      <c r="G7" s="11"/>
      <c r="H7" s="11"/>
    </row>
    <row r="8" spans="1:8" x14ac:dyDescent="0.3">
      <c r="A8" s="9" t="s">
        <v>44</v>
      </c>
      <c r="C8" s="337" t="s">
        <v>304</v>
      </c>
      <c r="D8" s="338"/>
      <c r="E8" s="338"/>
      <c r="F8" s="339"/>
      <c r="G8" t="s">
        <v>45</v>
      </c>
      <c r="H8" s="11"/>
    </row>
    <row r="9" spans="1:8" x14ac:dyDescent="0.3">
      <c r="C9" s="11"/>
      <c r="D9" s="11"/>
      <c r="E9" s="11"/>
      <c r="F9" s="11"/>
      <c r="G9" s="11"/>
      <c r="H9" s="11"/>
    </row>
    <row r="10" spans="1:8" x14ac:dyDescent="0.3">
      <c r="A10" s="9" t="s">
        <v>46</v>
      </c>
      <c r="C10" s="337" t="s">
        <v>299</v>
      </c>
      <c r="D10" s="338"/>
      <c r="E10" s="338"/>
      <c r="F10" s="339"/>
      <c r="G10" t="s">
        <v>125</v>
      </c>
      <c r="H10" s="11"/>
    </row>
    <row r="11" spans="1:8" x14ac:dyDescent="0.3">
      <c r="C11" s="11"/>
      <c r="D11" s="11"/>
      <c r="E11" s="11"/>
      <c r="F11" s="11"/>
      <c r="G11" s="11"/>
      <c r="H11" s="11"/>
    </row>
    <row r="12" spans="1:8" x14ac:dyDescent="0.3">
      <c r="A12" s="9" t="s">
        <v>107</v>
      </c>
      <c r="G12" s="116" t="s">
        <v>108</v>
      </c>
      <c r="H12" s="162">
        <v>45203</v>
      </c>
    </row>
    <row r="13" spans="1:8" x14ac:dyDescent="0.3">
      <c r="A13" s="9" t="s">
        <v>163</v>
      </c>
      <c r="G13" s="189"/>
      <c r="H13" s="79">
        <f>IFERROR(H12+45,"")</f>
        <v>45248</v>
      </c>
    </row>
    <row r="14" spans="1:8" x14ac:dyDescent="0.3">
      <c r="A14" s="9" t="s">
        <v>296</v>
      </c>
      <c r="G14" s="116" t="s">
        <v>108</v>
      </c>
      <c r="H14" s="162">
        <v>45291</v>
      </c>
    </row>
    <row r="15" spans="1:8" x14ac:dyDescent="0.3">
      <c r="A15" s="211" t="s">
        <v>47</v>
      </c>
      <c r="B15" s="212"/>
      <c r="C15" s="212"/>
      <c r="D15" s="212"/>
      <c r="E15" s="212"/>
      <c r="F15" s="212"/>
      <c r="G15" s="212"/>
      <c r="H15" s="213"/>
    </row>
    <row r="16" spans="1:8" ht="3" customHeight="1" x14ac:dyDescent="0.3"/>
    <row r="17" spans="1:8" x14ac:dyDescent="0.3">
      <c r="A17" s="9" t="s">
        <v>48</v>
      </c>
      <c r="B17" s="9" t="s">
        <v>49</v>
      </c>
    </row>
    <row r="18" spans="1:8" x14ac:dyDescent="0.3">
      <c r="B18" s="81" t="s">
        <v>264</v>
      </c>
    </row>
    <row r="19" spans="1:8" x14ac:dyDescent="0.3">
      <c r="B19" t="s">
        <v>63</v>
      </c>
    </row>
    <row r="20" spans="1:8" x14ac:dyDescent="0.3">
      <c r="B20" t="s">
        <v>53</v>
      </c>
    </row>
    <row r="21" spans="1:8" x14ac:dyDescent="0.3">
      <c r="B21" s="12" t="s">
        <v>265</v>
      </c>
      <c r="H21" s="125" t="s">
        <v>102</v>
      </c>
    </row>
    <row r="22" spans="1:8" x14ac:dyDescent="0.3">
      <c r="B22" t="s">
        <v>50</v>
      </c>
      <c r="D22" s="340"/>
      <c r="E22" s="341"/>
      <c r="F22" s="342"/>
      <c r="G22" s="39" t="s">
        <v>54</v>
      </c>
      <c r="H22" s="197"/>
    </row>
    <row r="23" spans="1:8" ht="6.75" customHeight="1" x14ac:dyDescent="0.3">
      <c r="G23" t="s">
        <v>54</v>
      </c>
    </row>
    <row r="24" spans="1:8" x14ac:dyDescent="0.3">
      <c r="B24" s="52" t="s">
        <v>209</v>
      </c>
      <c r="D24" s="214" t="s">
        <v>300</v>
      </c>
      <c r="E24" s="215"/>
      <c r="F24" s="216"/>
      <c r="G24" s="39"/>
      <c r="H24" s="201">
        <v>790</v>
      </c>
    </row>
    <row r="25" spans="1:8" ht="6.75" customHeight="1" x14ac:dyDescent="0.3"/>
    <row r="26" spans="1:8" x14ac:dyDescent="0.3">
      <c r="A26" s="9" t="s">
        <v>27</v>
      </c>
      <c r="B26" s="9" t="s">
        <v>28</v>
      </c>
    </row>
    <row r="27" spans="1:8" x14ac:dyDescent="0.3">
      <c r="B27" t="s">
        <v>109</v>
      </c>
      <c r="G27" t="s">
        <v>111</v>
      </c>
      <c r="H27" s="162">
        <v>45108</v>
      </c>
    </row>
    <row r="28" spans="1:8" x14ac:dyDescent="0.3">
      <c r="B28" t="s">
        <v>110</v>
      </c>
      <c r="G28" t="s">
        <v>112</v>
      </c>
      <c r="H28" s="162">
        <v>45473</v>
      </c>
    </row>
    <row r="29" spans="1:8" ht="6" customHeight="1" x14ac:dyDescent="0.3"/>
    <row r="30" spans="1:8" x14ac:dyDescent="0.3">
      <c r="B30" t="s">
        <v>26</v>
      </c>
    </row>
    <row r="31" spans="1:8" x14ac:dyDescent="0.3">
      <c r="E31" s="193" t="s">
        <v>51</v>
      </c>
      <c r="F31" s="159" t="s">
        <v>309</v>
      </c>
      <c r="G31" s="159"/>
      <c r="H31" s="160"/>
    </row>
    <row r="32" spans="1:8" x14ac:dyDescent="0.3">
      <c r="E32" s="192" t="s">
        <v>210</v>
      </c>
      <c r="F32" s="202" t="s">
        <v>305</v>
      </c>
      <c r="G32" s="161"/>
      <c r="H32" s="161"/>
    </row>
    <row r="33" spans="1:8" x14ac:dyDescent="0.3">
      <c r="B33" s="281" t="s">
        <v>222</v>
      </c>
      <c r="C33" s="281"/>
      <c r="D33" s="282"/>
      <c r="E33" s="272" t="s">
        <v>306</v>
      </c>
      <c r="F33" s="273"/>
      <c r="G33" s="273"/>
      <c r="H33" s="274"/>
    </row>
    <row r="34" spans="1:8" x14ac:dyDescent="0.3">
      <c r="B34" s="47"/>
      <c r="E34" s="275"/>
      <c r="F34" s="276"/>
      <c r="G34" s="276"/>
      <c r="H34" s="277"/>
    </row>
    <row r="35" spans="1:8" x14ac:dyDescent="0.3">
      <c r="B35" s="47"/>
      <c r="E35" s="278"/>
      <c r="F35" s="279"/>
      <c r="G35" s="279"/>
      <c r="H35" s="280"/>
    </row>
    <row r="36" spans="1:8" x14ac:dyDescent="0.3">
      <c r="A36" s="211" t="s">
        <v>52</v>
      </c>
      <c r="B36" s="212"/>
      <c r="C36" s="212"/>
      <c r="D36" s="212"/>
      <c r="E36" s="212"/>
      <c r="F36" s="212"/>
      <c r="G36" s="212"/>
      <c r="H36" s="213"/>
    </row>
    <row r="37" spans="1:8" ht="7.5" customHeight="1" x14ac:dyDescent="0.3"/>
    <row r="38" spans="1:8" x14ac:dyDescent="0.3">
      <c r="A38" s="9" t="s">
        <v>5</v>
      </c>
      <c r="B38" s="9" t="s">
        <v>131</v>
      </c>
    </row>
    <row r="39" spans="1:8" x14ac:dyDescent="0.3">
      <c r="B39" s="144" t="s">
        <v>267</v>
      </c>
    </row>
    <row r="40" spans="1:8" ht="5.25" customHeight="1" x14ac:dyDescent="0.3"/>
    <row r="41" spans="1:8" x14ac:dyDescent="0.3">
      <c r="B41" s="52" t="s">
        <v>268</v>
      </c>
    </row>
    <row r="42" spans="1:8" x14ac:dyDescent="0.3">
      <c r="B42" s="59" t="s">
        <v>136</v>
      </c>
      <c r="H42" s="198"/>
    </row>
    <row r="43" spans="1:8" ht="6.75" customHeight="1" x14ac:dyDescent="0.3"/>
    <row r="44" spans="1:8" x14ac:dyDescent="0.3">
      <c r="B44" s="52" t="s">
        <v>269</v>
      </c>
    </row>
    <row r="45" spans="1:8" ht="26.25" customHeight="1" x14ac:dyDescent="0.3">
      <c r="B45" s="325" t="s">
        <v>137</v>
      </c>
      <c r="C45" s="325"/>
      <c r="D45" s="325"/>
      <c r="E45" s="325"/>
      <c r="F45" s="325"/>
      <c r="G45" s="336"/>
      <c r="H45" s="199"/>
    </row>
    <row r="46" spans="1:8" ht="3.75" customHeight="1" x14ac:dyDescent="0.3"/>
    <row r="47" spans="1:8" x14ac:dyDescent="0.3">
      <c r="C47" t="s">
        <v>126</v>
      </c>
      <c r="H47" s="85">
        <f>+H45-H42</f>
        <v>0</v>
      </c>
    </row>
    <row r="48" spans="1:8" x14ac:dyDescent="0.3">
      <c r="C48" t="s">
        <v>127</v>
      </c>
      <c r="H48" s="82" t="e">
        <f>+H47/H42</f>
        <v>#DIV/0!</v>
      </c>
    </row>
    <row r="49" spans="2:8" ht="8.25" customHeight="1" x14ac:dyDescent="0.3"/>
    <row r="50" spans="2:8" x14ac:dyDescent="0.3">
      <c r="B50" s="19" t="s">
        <v>270</v>
      </c>
      <c r="C50" s="3"/>
      <c r="D50" s="3"/>
      <c r="E50" s="3"/>
      <c r="F50" s="3"/>
      <c r="G50" s="3"/>
      <c r="H50" s="4"/>
    </row>
    <row r="51" spans="2:8" x14ac:dyDescent="0.3">
      <c r="B51" s="5" t="s">
        <v>12</v>
      </c>
      <c r="H51" s="6"/>
    </row>
    <row r="52" spans="2:8" ht="6.75" customHeight="1" x14ac:dyDescent="0.3">
      <c r="B52" s="5"/>
      <c r="H52" s="6"/>
    </row>
    <row r="53" spans="2:8" x14ac:dyDescent="0.3">
      <c r="B53" s="5"/>
      <c r="C53" s="75" t="s">
        <v>128</v>
      </c>
      <c r="H53" s="6"/>
    </row>
    <row r="54" spans="2:8" x14ac:dyDescent="0.3">
      <c r="B54" s="5"/>
      <c r="C54" t="s">
        <v>129</v>
      </c>
      <c r="G54" s="200"/>
      <c r="H54" s="6" t="s">
        <v>3</v>
      </c>
    </row>
    <row r="55" spans="2:8" ht="5.25" customHeight="1" x14ac:dyDescent="0.3">
      <c r="B55" s="5"/>
      <c r="G55" s="165"/>
      <c r="H55" s="6"/>
    </row>
    <row r="56" spans="2:8" ht="26.25" customHeight="1" x14ac:dyDescent="0.3">
      <c r="B56" s="5"/>
      <c r="C56" s="226" t="s">
        <v>220</v>
      </c>
      <c r="D56" s="227"/>
      <c r="E56" s="227"/>
      <c r="F56" s="228"/>
      <c r="G56" s="200"/>
      <c r="H56" s="6" t="s">
        <v>3</v>
      </c>
    </row>
    <row r="57" spans="2:8" ht="7.5" customHeight="1" x14ac:dyDescent="0.3">
      <c r="B57" s="5"/>
      <c r="G57" s="156"/>
      <c r="H57" s="40"/>
    </row>
    <row r="58" spans="2:8" x14ac:dyDescent="0.3">
      <c r="B58" s="5"/>
      <c r="C58" s="75" t="s">
        <v>13</v>
      </c>
      <c r="G58" s="156"/>
      <c r="H58" s="40"/>
    </row>
    <row r="59" spans="2:8" x14ac:dyDescent="0.3">
      <c r="B59" s="5"/>
      <c r="C59" s="52" t="s">
        <v>290</v>
      </c>
      <c r="G59" s="200"/>
      <c r="H59" s="6" t="s">
        <v>3</v>
      </c>
    </row>
    <row r="60" spans="2:8" ht="8.25" customHeight="1" x14ac:dyDescent="0.3">
      <c r="B60" s="5"/>
      <c r="H60" s="40"/>
    </row>
    <row r="61" spans="2:8" x14ac:dyDescent="0.3">
      <c r="B61" s="5"/>
      <c r="C61" s="9" t="s">
        <v>130</v>
      </c>
      <c r="D61" s="9"/>
      <c r="E61" s="9"/>
      <c r="F61" s="9"/>
      <c r="H61" s="41"/>
    </row>
    <row r="62" spans="2:8" x14ac:dyDescent="0.3">
      <c r="B62" s="7"/>
      <c r="C62" s="20" t="s">
        <v>14</v>
      </c>
      <c r="D62" s="20"/>
      <c r="E62" s="20"/>
      <c r="F62" s="20"/>
      <c r="G62" s="83">
        <f>+G54+G59+G56</f>
        <v>0</v>
      </c>
      <c r="H62" s="166" t="s">
        <v>3</v>
      </c>
    </row>
    <row r="63" spans="2:8" ht="7.5" customHeight="1" thickBot="1" x14ac:dyDescent="0.35">
      <c r="C63" s="9"/>
      <c r="D63" s="9"/>
      <c r="E63" s="9"/>
      <c r="F63" s="9"/>
      <c r="G63" s="120"/>
      <c r="H63" s="9"/>
    </row>
    <row r="64" spans="2:8" ht="13.5" thickBot="1" x14ac:dyDescent="0.35">
      <c r="B64" s="9" t="s">
        <v>271</v>
      </c>
      <c r="C64" s="9"/>
      <c r="D64" s="9"/>
      <c r="E64" s="9"/>
      <c r="F64" s="9"/>
      <c r="G64" s="120"/>
      <c r="H64" s="210"/>
    </row>
    <row r="65" spans="1:8" ht="13.5" thickBot="1" x14ac:dyDescent="0.35">
      <c r="B65" s="9" t="s">
        <v>272</v>
      </c>
      <c r="C65" s="9"/>
      <c r="D65" s="9"/>
      <c r="E65" s="9"/>
      <c r="F65" s="9"/>
      <c r="G65" s="120"/>
      <c r="H65" s="194">
        <v>189</v>
      </c>
    </row>
    <row r="66" spans="1:8" ht="13.5" customHeight="1" thickBot="1" x14ac:dyDescent="0.35">
      <c r="B66" s="9" t="s">
        <v>219</v>
      </c>
      <c r="H66" s="194">
        <v>180</v>
      </c>
    </row>
    <row r="67" spans="1:8" ht="25.5" customHeight="1" x14ac:dyDescent="0.3">
      <c r="A67" s="9" t="s">
        <v>4</v>
      </c>
      <c r="B67" s="9" t="s">
        <v>190</v>
      </c>
    </row>
    <row r="68" spans="1:8" x14ac:dyDescent="0.3">
      <c r="B68" t="s">
        <v>132</v>
      </c>
    </row>
    <row r="69" spans="1:8" ht="7.5" customHeight="1" x14ac:dyDescent="0.3"/>
    <row r="70" spans="1:8" x14ac:dyDescent="0.3">
      <c r="B70" s="144" t="s">
        <v>224</v>
      </c>
    </row>
    <row r="71" spans="1:8" x14ac:dyDescent="0.3">
      <c r="B71" t="s">
        <v>15</v>
      </c>
    </row>
    <row r="72" spans="1:8" ht="6.75" customHeight="1" x14ac:dyDescent="0.3"/>
    <row r="73" spans="1:8" x14ac:dyDescent="0.3">
      <c r="B73" t="s">
        <v>133</v>
      </c>
    </row>
    <row r="74" spans="1:8" x14ac:dyDescent="0.3">
      <c r="C74" t="s">
        <v>6</v>
      </c>
      <c r="H74" s="198"/>
    </row>
    <row r="75" spans="1:8" x14ac:dyDescent="0.3">
      <c r="C75" t="s">
        <v>7</v>
      </c>
      <c r="H75" s="199"/>
    </row>
    <row r="76" spans="1:8" x14ac:dyDescent="0.3">
      <c r="C76" t="s">
        <v>134</v>
      </c>
      <c r="H76" s="58">
        <f>+H75-H74</f>
        <v>0</v>
      </c>
    </row>
    <row r="77" spans="1:8" x14ac:dyDescent="0.3">
      <c r="C77" t="s">
        <v>135</v>
      </c>
      <c r="H77" s="86" t="e">
        <f>+H76/H74</f>
        <v>#DIV/0!</v>
      </c>
    </row>
    <row r="78" spans="1:8" ht="6.75" customHeight="1" x14ac:dyDescent="0.3"/>
    <row r="79" spans="1:8" x14ac:dyDescent="0.3">
      <c r="B79" s="144" t="s">
        <v>225</v>
      </c>
    </row>
    <row r="80" spans="1:8" x14ac:dyDescent="0.3">
      <c r="B80" t="s">
        <v>138</v>
      </c>
    </row>
    <row r="81" spans="1:8" x14ac:dyDescent="0.3">
      <c r="C81" s="52" t="s">
        <v>6</v>
      </c>
      <c r="H81" s="198"/>
    </row>
    <row r="82" spans="1:8" x14ac:dyDescent="0.3">
      <c r="C82" t="s">
        <v>7</v>
      </c>
      <c r="H82" s="198"/>
    </row>
    <row r="83" spans="1:8" x14ac:dyDescent="0.3">
      <c r="C83" t="s">
        <v>134</v>
      </c>
      <c r="H83" s="84">
        <f>SUM(H82-H81)</f>
        <v>0</v>
      </c>
    </row>
    <row r="84" spans="1:8" x14ac:dyDescent="0.3">
      <c r="C84" t="s">
        <v>135</v>
      </c>
      <c r="H84" s="86" t="e">
        <f>+H83/H81</f>
        <v>#DIV/0!</v>
      </c>
    </row>
    <row r="85" spans="1:8" ht="8.25" customHeight="1" thickBot="1" x14ac:dyDescent="0.35"/>
    <row r="86" spans="1:8" x14ac:dyDescent="0.3">
      <c r="B86" s="284" t="s">
        <v>273</v>
      </c>
      <c r="C86" s="285"/>
      <c r="D86" s="285"/>
      <c r="E86" s="285"/>
      <c r="F86" s="285"/>
      <c r="G86" s="285"/>
      <c r="H86" s="286"/>
    </row>
    <row r="87" spans="1:8" ht="15.75" customHeight="1" x14ac:dyDescent="0.3">
      <c r="B87" s="287"/>
      <c r="C87" s="288"/>
      <c r="D87" s="288"/>
      <c r="E87" s="288"/>
      <c r="F87" s="288"/>
      <c r="G87" s="288"/>
      <c r="H87" s="289"/>
    </row>
    <row r="88" spans="1:8" x14ac:dyDescent="0.3">
      <c r="B88" s="296" t="s">
        <v>301</v>
      </c>
      <c r="C88" s="297"/>
      <c r="D88" s="297"/>
      <c r="E88" s="297"/>
      <c r="F88" s="297"/>
      <c r="G88" s="297"/>
      <c r="H88" s="298"/>
    </row>
    <row r="89" spans="1:8" x14ac:dyDescent="0.3">
      <c r="B89" s="299"/>
      <c r="C89" s="300"/>
      <c r="D89" s="300"/>
      <c r="E89" s="300"/>
      <c r="F89" s="300"/>
      <c r="G89" s="300"/>
      <c r="H89" s="301"/>
    </row>
    <row r="90" spans="1:8" ht="30" customHeight="1" x14ac:dyDescent="0.3">
      <c r="B90" s="302"/>
      <c r="C90" s="303"/>
      <c r="D90" s="303"/>
      <c r="E90" s="303"/>
      <c r="F90" s="303"/>
      <c r="G90" s="303"/>
      <c r="H90" s="304"/>
    </row>
    <row r="91" spans="1:8" x14ac:dyDescent="0.3">
      <c r="B91" s="168"/>
      <c r="C91" s="167" t="s">
        <v>116</v>
      </c>
      <c r="D91" s="3"/>
      <c r="E91" s="3"/>
      <c r="F91" s="3"/>
      <c r="G91" s="198"/>
      <c r="H91" s="169"/>
    </row>
    <row r="92" spans="1:8" x14ac:dyDescent="0.3">
      <c r="B92" s="67"/>
      <c r="C92" s="47" t="s">
        <v>117</v>
      </c>
      <c r="G92" s="198"/>
      <c r="H92" s="68"/>
    </row>
    <row r="93" spans="1:8" ht="27.75" customHeight="1" thickBot="1" x14ac:dyDescent="0.35">
      <c r="B93" s="69"/>
      <c r="C93" s="219" t="s">
        <v>221</v>
      </c>
      <c r="D93" s="220"/>
      <c r="E93" s="220"/>
      <c r="F93" s="221"/>
      <c r="G93" s="87">
        <f>SUM(G92-G91)</f>
        <v>0</v>
      </c>
      <c r="H93" s="88" t="e">
        <f>SUM(G92-G91)/G91</f>
        <v>#DIV/0!</v>
      </c>
    </row>
    <row r="95" spans="1:8" x14ac:dyDescent="0.3">
      <c r="A95" s="22" t="s">
        <v>139</v>
      </c>
      <c r="B95" s="23"/>
      <c r="C95" s="23"/>
      <c r="D95" s="23"/>
      <c r="E95" s="23"/>
      <c r="F95" s="23"/>
      <c r="G95" s="23"/>
      <c r="H95" s="24"/>
    </row>
    <row r="96" spans="1:8" x14ac:dyDescent="0.3">
      <c r="A96" s="25" t="s">
        <v>119</v>
      </c>
      <c r="B96" s="26"/>
      <c r="C96" s="26"/>
      <c r="D96" s="26"/>
      <c r="E96" s="26"/>
      <c r="F96" s="26"/>
      <c r="G96" s="26"/>
      <c r="H96" s="27"/>
    </row>
    <row r="98" spans="1:8" x14ac:dyDescent="0.3">
      <c r="A98" s="9" t="s">
        <v>56</v>
      </c>
      <c r="B98" s="283" t="s">
        <v>223</v>
      </c>
      <c r="C98" s="283"/>
      <c r="D98" s="283"/>
      <c r="E98" s="283"/>
      <c r="F98" s="283"/>
      <c r="G98" s="283"/>
      <c r="H98" s="283"/>
    </row>
    <row r="99" spans="1:8" x14ac:dyDescent="0.3">
      <c r="B99" t="s">
        <v>140</v>
      </c>
    </row>
    <row r="100" spans="1:8" x14ac:dyDescent="0.3">
      <c r="B100" s="144" t="s">
        <v>226</v>
      </c>
    </row>
    <row r="102" spans="1:8" x14ac:dyDescent="0.3">
      <c r="C102" t="s">
        <v>9</v>
      </c>
      <c r="G102" s="58">
        <f>+H42</f>
        <v>0</v>
      </c>
      <c r="H102" s="42" t="s">
        <v>54</v>
      </c>
    </row>
    <row r="103" spans="1:8" x14ac:dyDescent="0.3">
      <c r="C103" t="s">
        <v>10</v>
      </c>
      <c r="G103" s="58">
        <f>+H74+H81</f>
        <v>0</v>
      </c>
      <c r="H103" s="43" t="s">
        <v>54</v>
      </c>
    </row>
    <row r="104" spans="1:8" x14ac:dyDescent="0.3">
      <c r="D104" t="s">
        <v>11</v>
      </c>
      <c r="H104" s="58">
        <f>+G102+G103</f>
        <v>0</v>
      </c>
    </row>
    <row r="105" spans="1:8" ht="7.5" customHeight="1" x14ac:dyDescent="0.3"/>
    <row r="106" spans="1:8" x14ac:dyDescent="0.3">
      <c r="B106" t="s">
        <v>141</v>
      </c>
    </row>
    <row r="107" spans="1:8" x14ac:dyDescent="0.3">
      <c r="B107" s="325" t="s">
        <v>227</v>
      </c>
      <c r="C107" s="325"/>
      <c r="D107" s="325"/>
      <c r="E107" s="325"/>
      <c r="F107" s="325"/>
      <c r="G107" s="325"/>
      <c r="H107" s="325"/>
    </row>
    <row r="108" spans="1:8" ht="6" customHeight="1" x14ac:dyDescent="0.3"/>
    <row r="109" spans="1:8" x14ac:dyDescent="0.3">
      <c r="C109" t="s">
        <v>9</v>
      </c>
      <c r="G109" s="58">
        <f>+H45</f>
        <v>0</v>
      </c>
      <c r="H109" s="42" t="s">
        <v>54</v>
      </c>
    </row>
    <row r="110" spans="1:8" x14ac:dyDescent="0.3">
      <c r="C110" t="s">
        <v>10</v>
      </c>
      <c r="G110" s="58">
        <f>+H75+H82</f>
        <v>0</v>
      </c>
      <c r="H110" s="43" t="s">
        <v>54</v>
      </c>
    </row>
    <row r="111" spans="1:8" x14ac:dyDescent="0.3">
      <c r="D111" t="s">
        <v>11</v>
      </c>
      <c r="H111" s="58">
        <f>+G109+G110</f>
        <v>0</v>
      </c>
    </row>
    <row r="112" spans="1:8" ht="9" customHeight="1" thickBot="1" x14ac:dyDescent="0.35"/>
    <row r="113" spans="1:8" ht="5.25" customHeight="1" x14ac:dyDescent="0.3">
      <c r="B113" s="72"/>
      <c r="C113" s="65"/>
      <c r="D113" s="65"/>
      <c r="E113" s="65"/>
      <c r="F113" s="65"/>
      <c r="G113" s="65"/>
      <c r="H113" s="66"/>
    </row>
    <row r="114" spans="1:8" x14ac:dyDescent="0.3">
      <c r="B114" s="67"/>
      <c r="C114" s="9" t="s">
        <v>142</v>
      </c>
      <c r="D114" s="9"/>
      <c r="E114" s="9"/>
      <c r="F114" s="9"/>
      <c r="H114" s="89">
        <f>+H111-H104</f>
        <v>0</v>
      </c>
    </row>
    <row r="115" spans="1:8" ht="13.5" customHeight="1" x14ac:dyDescent="0.3">
      <c r="B115" s="67"/>
      <c r="C115" s="70" t="s">
        <v>121</v>
      </c>
      <c r="D115" s="9"/>
      <c r="E115" s="9"/>
      <c r="F115" s="9"/>
      <c r="H115" s="73"/>
    </row>
    <row r="116" spans="1:8" x14ac:dyDescent="0.3">
      <c r="B116" s="67"/>
      <c r="C116" s="9" t="s">
        <v>143</v>
      </c>
      <c r="D116" s="9"/>
      <c r="E116" s="9"/>
      <c r="F116" s="9"/>
      <c r="H116" s="90" t="e">
        <f>+H114/H104</f>
        <v>#DIV/0!</v>
      </c>
    </row>
    <row r="117" spans="1:8" ht="9" customHeight="1" x14ac:dyDescent="0.3">
      <c r="B117" s="67"/>
      <c r="C117" s="9"/>
      <c r="D117" s="9"/>
      <c r="E117" s="9"/>
      <c r="F117" s="9"/>
      <c r="H117" s="73"/>
    </row>
    <row r="118" spans="1:8" ht="29.25" customHeight="1" thickBot="1" x14ac:dyDescent="0.35">
      <c r="B118" s="69"/>
      <c r="C118" s="323" t="s">
        <v>191</v>
      </c>
      <c r="D118" s="323"/>
      <c r="E118" s="323"/>
      <c r="F118" s="323"/>
      <c r="G118" s="324"/>
      <c r="H118" s="74" t="e">
        <f>SUM(G102*0.01)*(H74/H42)+(G102*0.01)</f>
        <v>#DIV/0!</v>
      </c>
    </row>
    <row r="119" spans="1:8" x14ac:dyDescent="0.3">
      <c r="A119" s="211" t="s">
        <v>55</v>
      </c>
      <c r="B119" s="212"/>
      <c r="C119" s="212"/>
      <c r="D119" s="212"/>
      <c r="E119" s="212"/>
      <c r="F119" s="212"/>
      <c r="G119" s="212"/>
      <c r="H119" s="213"/>
    </row>
    <row r="120" spans="1:8" ht="9" customHeight="1" x14ac:dyDescent="0.3"/>
    <row r="121" spans="1:8" x14ac:dyDescent="0.3">
      <c r="A121" s="9" t="s">
        <v>8</v>
      </c>
      <c r="B121" s="335" t="s">
        <v>229</v>
      </c>
      <c r="C121" s="335"/>
      <c r="D121" s="335"/>
      <c r="E121" s="335"/>
      <c r="F121" s="335"/>
      <c r="G121" s="335"/>
      <c r="H121" s="335"/>
    </row>
    <row r="122" spans="1:8" x14ac:dyDescent="0.3">
      <c r="B122" s="335"/>
      <c r="C122" s="335"/>
      <c r="D122" s="335"/>
      <c r="E122" s="335"/>
      <c r="F122" s="335"/>
      <c r="G122" s="335"/>
      <c r="H122" s="335"/>
    </row>
    <row r="123" spans="1:8" ht="9.75" customHeight="1" x14ac:dyDescent="0.3">
      <c r="B123" s="144"/>
    </row>
    <row r="124" spans="1:8" s="10" customFormat="1" ht="27.75" customHeight="1" x14ac:dyDescent="0.3">
      <c r="A124" s="80"/>
      <c r="B124" s="305" t="s">
        <v>274</v>
      </c>
      <c r="C124" s="305"/>
      <c r="D124" s="305"/>
      <c r="E124" s="305"/>
      <c r="F124" s="305"/>
      <c r="G124" s="305"/>
      <c r="H124" s="305"/>
    </row>
    <row r="125" spans="1:8" x14ac:dyDescent="0.3">
      <c r="B125" s="241" t="s">
        <v>307</v>
      </c>
      <c r="C125" s="242"/>
      <c r="D125" s="242"/>
      <c r="E125" s="242"/>
      <c r="F125" s="242"/>
      <c r="G125" s="242"/>
      <c r="H125" s="243"/>
    </row>
    <row r="126" spans="1:8" x14ac:dyDescent="0.3">
      <c r="B126" s="244"/>
      <c r="C126" s="245"/>
      <c r="D126" s="245"/>
      <c r="E126" s="245"/>
      <c r="F126" s="245"/>
      <c r="G126" s="245"/>
      <c r="H126" s="246"/>
    </row>
    <row r="127" spans="1:8" x14ac:dyDescent="0.3">
      <c r="B127" s="244"/>
      <c r="C127" s="245"/>
      <c r="D127" s="245"/>
      <c r="E127" s="245"/>
      <c r="F127" s="245"/>
      <c r="G127" s="245"/>
      <c r="H127" s="246"/>
    </row>
    <row r="128" spans="1:8" x14ac:dyDescent="0.3">
      <c r="B128" s="244"/>
      <c r="C128" s="245"/>
      <c r="D128" s="245"/>
      <c r="E128" s="245"/>
      <c r="F128" s="245"/>
      <c r="G128" s="245"/>
      <c r="H128" s="246"/>
    </row>
    <row r="129" spans="2:8" x14ac:dyDescent="0.3">
      <c r="B129" s="244"/>
      <c r="C129" s="245"/>
      <c r="D129" s="245"/>
      <c r="E129" s="245"/>
      <c r="F129" s="245"/>
      <c r="G129" s="245"/>
      <c r="H129" s="246"/>
    </row>
    <row r="130" spans="2:8" x14ac:dyDescent="0.3">
      <c r="B130" s="247"/>
      <c r="C130" s="248"/>
      <c r="D130" s="248"/>
      <c r="E130" s="248"/>
      <c r="F130" s="248"/>
      <c r="G130" s="248"/>
      <c r="H130" s="249"/>
    </row>
    <row r="131" spans="2:8" ht="9" customHeight="1" x14ac:dyDescent="0.3"/>
    <row r="132" spans="2:8" ht="26.25" customHeight="1" x14ac:dyDescent="0.3">
      <c r="B132" s="305" t="s">
        <v>228</v>
      </c>
      <c r="C132" s="305"/>
      <c r="D132" s="305"/>
      <c r="E132" s="305"/>
      <c r="F132" s="305"/>
      <c r="G132" s="305"/>
      <c r="H132" s="305"/>
    </row>
    <row r="133" spans="2:8" x14ac:dyDescent="0.3">
      <c r="B133" s="326"/>
      <c r="C133" s="327"/>
      <c r="D133" s="327"/>
      <c r="E133" s="327"/>
      <c r="F133" s="327"/>
      <c r="G133" s="327"/>
      <c r="H133" s="328"/>
    </row>
    <row r="134" spans="2:8" x14ac:dyDescent="0.3">
      <c r="B134" s="329"/>
      <c r="C134" s="330"/>
      <c r="D134" s="330"/>
      <c r="E134" s="330"/>
      <c r="F134" s="330"/>
      <c r="G134" s="330"/>
      <c r="H134" s="331"/>
    </row>
    <row r="135" spans="2:8" x14ac:dyDescent="0.3">
      <c r="B135" s="329"/>
      <c r="C135" s="330"/>
      <c r="D135" s="330"/>
      <c r="E135" s="330"/>
      <c r="F135" s="330"/>
      <c r="G135" s="330"/>
      <c r="H135" s="331"/>
    </row>
    <row r="136" spans="2:8" x14ac:dyDescent="0.3">
      <c r="B136" s="329"/>
      <c r="C136" s="330"/>
      <c r="D136" s="330"/>
      <c r="E136" s="330"/>
      <c r="F136" s="330"/>
      <c r="G136" s="330"/>
      <c r="H136" s="331"/>
    </row>
    <row r="137" spans="2:8" x14ac:dyDescent="0.3">
      <c r="B137" s="329"/>
      <c r="C137" s="330"/>
      <c r="D137" s="330"/>
      <c r="E137" s="330"/>
      <c r="F137" s="330"/>
      <c r="G137" s="330"/>
      <c r="H137" s="331"/>
    </row>
    <row r="138" spans="2:8" x14ac:dyDescent="0.3">
      <c r="B138" s="332"/>
      <c r="C138" s="333"/>
      <c r="D138" s="333"/>
      <c r="E138" s="333"/>
      <c r="F138" s="333"/>
      <c r="G138" s="333"/>
      <c r="H138" s="334"/>
    </row>
    <row r="139" spans="2:8" ht="9" customHeight="1" x14ac:dyDescent="0.3"/>
    <row r="140" spans="2:8" ht="40.5" customHeight="1" x14ac:dyDescent="0.3">
      <c r="B140" s="305" t="s">
        <v>217</v>
      </c>
      <c r="C140" s="305"/>
      <c r="D140" s="305"/>
      <c r="E140" s="305"/>
      <c r="F140" s="305"/>
      <c r="G140" s="305"/>
      <c r="H140" s="305"/>
    </row>
    <row r="141" spans="2:8" x14ac:dyDescent="0.3">
      <c r="B141" s="241" t="s">
        <v>307</v>
      </c>
      <c r="C141" s="242"/>
      <c r="D141" s="242"/>
      <c r="E141" s="242"/>
      <c r="F141" s="242"/>
      <c r="G141" s="242"/>
      <c r="H141" s="243"/>
    </row>
    <row r="142" spans="2:8" x14ac:dyDescent="0.3">
      <c r="B142" s="244"/>
      <c r="C142" s="245"/>
      <c r="D142" s="245"/>
      <c r="E142" s="245"/>
      <c r="F142" s="245"/>
      <c r="G142" s="245"/>
      <c r="H142" s="246"/>
    </row>
    <row r="143" spans="2:8" x14ac:dyDescent="0.3">
      <c r="B143" s="244"/>
      <c r="C143" s="245"/>
      <c r="D143" s="245"/>
      <c r="E143" s="245"/>
      <c r="F143" s="245"/>
      <c r="G143" s="245"/>
      <c r="H143" s="246"/>
    </row>
    <row r="144" spans="2:8" x14ac:dyDescent="0.3">
      <c r="B144" s="244"/>
      <c r="C144" s="245"/>
      <c r="D144" s="245"/>
      <c r="E144" s="245"/>
      <c r="F144" s="245"/>
      <c r="G144" s="245"/>
      <c r="H144" s="246"/>
    </row>
    <row r="145" spans="1:8" x14ac:dyDescent="0.3">
      <c r="B145" s="244"/>
      <c r="C145" s="245"/>
      <c r="D145" s="245"/>
      <c r="E145" s="245"/>
      <c r="F145" s="245"/>
      <c r="G145" s="245"/>
      <c r="H145" s="246"/>
    </row>
    <row r="146" spans="1:8" x14ac:dyDescent="0.3">
      <c r="B146" s="244"/>
      <c r="C146" s="245"/>
      <c r="D146" s="245"/>
      <c r="E146" s="245"/>
      <c r="F146" s="245"/>
      <c r="G146" s="245"/>
      <c r="H146" s="246"/>
    </row>
    <row r="147" spans="1:8" x14ac:dyDescent="0.3">
      <c r="B147" s="244"/>
      <c r="C147" s="245"/>
      <c r="D147" s="245"/>
      <c r="E147" s="245"/>
      <c r="F147" s="245"/>
      <c r="G147" s="245"/>
      <c r="H147" s="246"/>
    </row>
    <row r="148" spans="1:8" x14ac:dyDescent="0.3">
      <c r="B148" s="247"/>
      <c r="C148" s="248"/>
      <c r="D148" s="248"/>
      <c r="E148" s="248"/>
      <c r="F148" s="248"/>
      <c r="G148" s="248"/>
      <c r="H148" s="249"/>
    </row>
    <row r="150" spans="1:8" x14ac:dyDescent="0.3">
      <c r="A150" s="9" t="s">
        <v>144</v>
      </c>
    </row>
    <row r="151" spans="1:8" x14ac:dyDescent="0.3">
      <c r="B151" s="183" t="s">
        <v>145</v>
      </c>
      <c r="C151" s="183"/>
      <c r="D151" s="183"/>
      <c r="E151" s="183"/>
      <c r="F151" s="183"/>
      <c r="G151" s="321">
        <f>H185+H190</f>
        <v>243306038</v>
      </c>
      <c r="H151" s="322"/>
    </row>
    <row r="152" spans="1:8" x14ac:dyDescent="0.3">
      <c r="B152" s="184" t="s">
        <v>122</v>
      </c>
      <c r="C152" s="183"/>
      <c r="D152" s="183"/>
      <c r="E152" s="183"/>
      <c r="F152" s="183"/>
      <c r="G152" s="306">
        <v>0.03</v>
      </c>
      <c r="H152" s="307"/>
    </row>
    <row r="153" spans="1:8" ht="24" customHeight="1" x14ac:dyDescent="0.3">
      <c r="B153" s="223" t="s">
        <v>230</v>
      </c>
      <c r="C153" s="224"/>
      <c r="D153" s="224"/>
      <c r="E153" s="224"/>
      <c r="F153" s="225"/>
      <c r="G153" s="251">
        <f>SUM(G151*G152)</f>
        <v>7299181.1399999997</v>
      </c>
      <c r="H153" s="252"/>
    </row>
    <row r="155" spans="1:8" x14ac:dyDescent="0.3">
      <c r="A155" s="211" t="s">
        <v>192</v>
      </c>
      <c r="B155" s="212"/>
      <c r="C155" s="212"/>
      <c r="D155" s="212"/>
      <c r="E155" s="212"/>
      <c r="F155" s="212"/>
      <c r="G155" s="212"/>
      <c r="H155" s="213"/>
    </row>
    <row r="156" spans="1:8" s="52" customFormat="1" ht="16.5" customHeight="1" x14ac:dyDescent="0.3">
      <c r="A156" s="45" t="s">
        <v>103</v>
      </c>
      <c r="B156" s="9" t="s">
        <v>113</v>
      </c>
      <c r="C156" s="9"/>
      <c r="D156" s="14"/>
      <c r="E156" s="14"/>
      <c r="F156" s="14"/>
      <c r="G156" s="9"/>
      <c r="H156" s="292">
        <f>H13</f>
        <v>45248</v>
      </c>
    </row>
    <row r="157" spans="1:8" s="52" customFormat="1" x14ac:dyDescent="0.3">
      <c r="A157" s="9"/>
      <c r="B157" s="222" t="s">
        <v>218</v>
      </c>
      <c r="C157" s="222"/>
      <c r="D157" s="222"/>
      <c r="E157" s="222"/>
      <c r="F157" s="222"/>
      <c r="G157" s="222"/>
      <c r="H157" s="293"/>
    </row>
    <row r="158" spans="1:8" s="52" customFormat="1" x14ac:dyDescent="0.3">
      <c r="A158" s="9"/>
      <c r="B158" s="9" t="s">
        <v>231</v>
      </c>
      <c r="C158" s="9"/>
      <c r="D158" s="91"/>
      <c r="E158" s="91"/>
      <c r="F158" s="91"/>
      <c r="G158" s="9"/>
      <c r="H158" s="294"/>
    </row>
    <row r="159" spans="1:8" s="52" customFormat="1" ht="3.75" customHeight="1" x14ac:dyDescent="0.3">
      <c r="A159" s="9"/>
      <c r="B159" s="9"/>
      <c r="C159" s="9"/>
      <c r="D159" s="91"/>
      <c r="E159" s="91"/>
      <c r="F159" s="91"/>
      <c r="G159" s="9"/>
      <c r="H159" s="164"/>
    </row>
    <row r="160" spans="1:8" s="52" customFormat="1" ht="27" customHeight="1" x14ac:dyDescent="0.3">
      <c r="A160" s="9"/>
      <c r="B160" s="222" t="s">
        <v>298</v>
      </c>
      <c r="C160" s="222"/>
      <c r="D160" s="222"/>
      <c r="E160" s="222"/>
      <c r="F160" s="250"/>
      <c r="G160" s="196" t="s">
        <v>308</v>
      </c>
      <c r="H160" s="195">
        <v>45204</v>
      </c>
    </row>
    <row r="161" spans="1:8" s="52" customFormat="1" ht="6" customHeight="1" x14ac:dyDescent="0.3">
      <c r="A161" s="9"/>
      <c r="B161" s="9"/>
      <c r="C161" s="9"/>
      <c r="D161" s="91"/>
      <c r="E161" s="91"/>
      <c r="F161" s="91"/>
      <c r="G161" s="9"/>
      <c r="H161" s="9"/>
    </row>
    <row r="162" spans="1:8" s="52" customFormat="1" x14ac:dyDescent="0.3">
      <c r="A162" s="9"/>
      <c r="B162" s="9" t="s">
        <v>147</v>
      </c>
      <c r="C162" s="9"/>
      <c r="D162" s="91"/>
      <c r="E162" s="91"/>
      <c r="F162" s="91"/>
      <c r="G162" s="9"/>
      <c r="H162" s="9"/>
    </row>
    <row r="163" spans="1:8" s="52" customFormat="1" x14ac:dyDescent="0.3">
      <c r="A163" s="9"/>
      <c r="B163" s="9" t="s">
        <v>146</v>
      </c>
      <c r="C163" s="9"/>
      <c r="D163" s="91"/>
      <c r="E163" s="91"/>
      <c r="F163" s="91"/>
      <c r="G163" s="9"/>
      <c r="H163" s="9"/>
    </row>
    <row r="164" spans="1:8" ht="16.899999999999999" customHeight="1" x14ac:dyDescent="0.3">
      <c r="A164" s="9" t="s">
        <v>101</v>
      </c>
      <c r="B164" s="64" t="s">
        <v>212</v>
      </c>
    </row>
    <row r="165" spans="1:8" x14ac:dyDescent="0.3">
      <c r="B165" s="64" t="s">
        <v>211</v>
      </c>
    </row>
    <row r="166" spans="1:8" x14ac:dyDescent="0.3">
      <c r="B166" s="71" t="s">
        <v>275</v>
      </c>
    </row>
    <row r="167" spans="1:8" x14ac:dyDescent="0.3">
      <c r="B167" s="71" t="s">
        <v>276</v>
      </c>
    </row>
    <row r="168" spans="1:8" ht="15.75" customHeight="1" x14ac:dyDescent="0.35">
      <c r="B168" s="9"/>
      <c r="E168" s="156"/>
      <c r="F168" s="236" t="s">
        <v>310</v>
      </c>
      <c r="G168" s="237"/>
      <c r="H168" s="238"/>
    </row>
    <row r="169" spans="1:8" ht="12.5" x14ac:dyDescent="0.25">
      <c r="A169" s="229" t="s">
        <v>120</v>
      </c>
      <c r="B169" s="230"/>
      <c r="C169" s="230"/>
      <c r="D169" s="231"/>
      <c r="E169" s="158" t="s">
        <v>84</v>
      </c>
      <c r="F169" s="155" t="s">
        <v>85</v>
      </c>
      <c r="G169" s="155" t="s">
        <v>86</v>
      </c>
      <c r="H169" s="155" t="s">
        <v>87</v>
      </c>
    </row>
    <row r="170" spans="1:8" ht="59.25" customHeight="1" x14ac:dyDescent="0.25">
      <c r="A170" s="232"/>
      <c r="B170" s="233"/>
      <c r="C170" s="233"/>
      <c r="D170" s="233"/>
      <c r="E170" s="185" t="s">
        <v>313</v>
      </c>
      <c r="F170" s="254" t="s">
        <v>278</v>
      </c>
      <c r="G170" s="217" t="s">
        <v>279</v>
      </c>
      <c r="H170" s="254" t="s">
        <v>277</v>
      </c>
    </row>
    <row r="171" spans="1:8" ht="18.75" customHeight="1" x14ac:dyDescent="0.25">
      <c r="A171" s="234"/>
      <c r="B171" s="235"/>
      <c r="C171" s="235"/>
      <c r="D171" s="235"/>
      <c r="E171" s="186">
        <v>45199</v>
      </c>
      <c r="F171" s="255"/>
      <c r="G171" s="218"/>
      <c r="H171" s="255"/>
    </row>
    <row r="172" spans="1:8" ht="17.25" customHeight="1" x14ac:dyDescent="0.3">
      <c r="A172" s="45" t="s">
        <v>232</v>
      </c>
      <c r="B172" s="34"/>
      <c r="C172" s="34"/>
      <c r="D172" s="34"/>
      <c r="E172" s="204">
        <v>15303</v>
      </c>
      <c r="F172" s="154"/>
      <c r="G172" s="154"/>
      <c r="H172" s="204">
        <f>E172</f>
        <v>15303</v>
      </c>
    </row>
    <row r="173" spans="1:8" x14ac:dyDescent="0.3">
      <c r="A173" s="9" t="s">
        <v>194</v>
      </c>
      <c r="B173" s="34"/>
      <c r="C173" s="36"/>
      <c r="D173" s="30" t="s">
        <v>78</v>
      </c>
      <c r="E173" s="152">
        <v>174403472</v>
      </c>
      <c r="F173" s="152">
        <v>0</v>
      </c>
      <c r="G173" s="152">
        <v>0</v>
      </c>
      <c r="H173" s="107">
        <f>SUM(E173:G173)</f>
        <v>174403472</v>
      </c>
    </row>
    <row r="174" spans="1:8" x14ac:dyDescent="0.3">
      <c r="A174" s="9" t="s">
        <v>79</v>
      </c>
      <c r="B174" s="34"/>
      <c r="C174" s="36"/>
      <c r="D174" s="30" t="s">
        <v>80</v>
      </c>
      <c r="E174" s="152">
        <f>257295989-E173</f>
        <v>82892517</v>
      </c>
      <c r="F174" s="152">
        <v>0</v>
      </c>
      <c r="G174" s="152">
        <v>0</v>
      </c>
      <c r="H174" s="107">
        <f>SUM(E174:G174)</f>
        <v>82892517</v>
      </c>
    </row>
    <row r="175" spans="1:8" x14ac:dyDescent="0.3">
      <c r="B175" s="35"/>
      <c r="C175" s="35"/>
      <c r="D175" s="37" t="s">
        <v>81</v>
      </c>
      <c r="E175" s="94">
        <f>ROUND(SUM(E173:E174),0)</f>
        <v>257295989</v>
      </c>
      <c r="F175" s="94">
        <f>ROUND(SUM(F173:F174),0)</f>
        <v>0</v>
      </c>
      <c r="G175" s="94">
        <f>ROUND(SUM(G173:G174),0)</f>
        <v>0</v>
      </c>
      <c r="H175" s="94">
        <f>SUM(E175:G175)</f>
        <v>257295989</v>
      </c>
    </row>
    <row r="176" spans="1:8" ht="4.5" customHeight="1" x14ac:dyDescent="0.3">
      <c r="B176" s="35"/>
      <c r="C176" s="35"/>
      <c r="D176" s="35"/>
      <c r="E176" s="95"/>
      <c r="F176" s="95"/>
      <c r="G176" s="95"/>
      <c r="H176" s="95"/>
    </row>
    <row r="177" spans="1:8" x14ac:dyDescent="0.3">
      <c r="A177" s="9" t="s">
        <v>88</v>
      </c>
      <c r="B177" s="35"/>
      <c r="C177" s="34"/>
      <c r="D177" s="34"/>
      <c r="E177" s="96"/>
      <c r="F177" s="96"/>
      <c r="G177" s="96"/>
      <c r="H177" s="108"/>
    </row>
    <row r="178" spans="1:8" x14ac:dyDescent="0.3">
      <c r="A178" s="9" t="s">
        <v>89</v>
      </c>
      <c r="B178" s="34"/>
      <c r="C178" s="34"/>
      <c r="D178" s="34"/>
      <c r="E178" s="152">
        <f>92005617-F178</f>
        <v>92005617</v>
      </c>
      <c r="F178" s="152">
        <f>H47</f>
        <v>0</v>
      </c>
      <c r="G178" s="157">
        <v>0</v>
      </c>
      <c r="H178" s="107">
        <f>SUM(E178:G178)</f>
        <v>92005617</v>
      </c>
    </row>
    <row r="179" spans="1:8" x14ac:dyDescent="0.3">
      <c r="A179" s="9" t="s">
        <v>90</v>
      </c>
      <c r="B179" s="34"/>
      <c r="C179" s="34"/>
      <c r="D179" s="34"/>
      <c r="E179" s="152">
        <v>35126531</v>
      </c>
      <c r="F179" s="152">
        <v>0</v>
      </c>
      <c r="G179" s="157">
        <v>0</v>
      </c>
      <c r="H179" s="107">
        <f t="shared" ref="H179:H199" si="0">SUM(E179:G179)</f>
        <v>35126531</v>
      </c>
    </row>
    <row r="180" spans="1:8" x14ac:dyDescent="0.3">
      <c r="A180" s="9" t="s">
        <v>91</v>
      </c>
      <c r="B180" s="34"/>
      <c r="C180" s="34"/>
      <c r="D180" s="34"/>
      <c r="E180" s="152">
        <f>67318895-F180</f>
        <v>67318895</v>
      </c>
      <c r="F180" s="152">
        <f>H76+H83</f>
        <v>0</v>
      </c>
      <c r="G180" s="157">
        <v>0</v>
      </c>
      <c r="H180" s="107">
        <f t="shared" si="0"/>
        <v>67318895</v>
      </c>
    </row>
    <row r="181" spans="1:8" x14ac:dyDescent="0.3">
      <c r="A181" s="9" t="s">
        <v>92</v>
      </c>
      <c r="B181" s="34"/>
      <c r="C181" s="34"/>
      <c r="D181" s="34"/>
      <c r="E181" s="152">
        <v>16274612</v>
      </c>
      <c r="F181" s="152">
        <v>0</v>
      </c>
      <c r="G181" s="157">
        <v>0</v>
      </c>
      <c r="H181" s="107">
        <f t="shared" si="0"/>
        <v>16274612</v>
      </c>
    </row>
    <row r="182" spans="1:8" x14ac:dyDescent="0.3">
      <c r="A182" s="9" t="s">
        <v>93</v>
      </c>
      <c r="B182" s="34"/>
      <c r="C182" s="34"/>
      <c r="D182" s="34"/>
      <c r="E182" s="152">
        <v>27729590</v>
      </c>
      <c r="F182" s="152">
        <v>0</v>
      </c>
      <c r="G182" s="157">
        <v>0</v>
      </c>
      <c r="H182" s="107">
        <f t="shared" si="0"/>
        <v>27729590</v>
      </c>
    </row>
    <row r="183" spans="1:8" x14ac:dyDescent="0.3">
      <c r="A183" s="9" t="s">
        <v>94</v>
      </c>
      <c r="B183" s="34"/>
      <c r="C183" s="34"/>
      <c r="D183" s="34"/>
      <c r="E183" s="152">
        <v>4748751</v>
      </c>
      <c r="F183" s="152">
        <v>0</v>
      </c>
      <c r="G183" s="157">
        <v>0</v>
      </c>
      <c r="H183" s="107">
        <f t="shared" si="0"/>
        <v>4748751</v>
      </c>
    </row>
    <row r="184" spans="1:8" x14ac:dyDescent="0.3">
      <c r="A184" s="9" t="s">
        <v>95</v>
      </c>
      <c r="B184" s="34"/>
      <c r="C184" s="34"/>
      <c r="D184" s="34"/>
      <c r="E184" s="152">
        <f>615029-512987</f>
        <v>102042</v>
      </c>
      <c r="F184" s="152">
        <v>0</v>
      </c>
      <c r="G184" s="157">
        <v>0</v>
      </c>
      <c r="H184" s="107">
        <f t="shared" si="0"/>
        <v>102042</v>
      </c>
    </row>
    <row r="185" spans="1:8" x14ac:dyDescent="0.3">
      <c r="B185" s="35"/>
      <c r="C185" s="35"/>
      <c r="D185" s="37" t="s">
        <v>81</v>
      </c>
      <c r="E185" s="94">
        <f>(ROUND(SUM(E178:E184),0))</f>
        <v>243306038</v>
      </c>
      <c r="F185" s="94">
        <f>(ROUND(SUM(F178:F184),0))</f>
        <v>0</v>
      </c>
      <c r="G185" s="94">
        <f>(ROUND(SUM(G178:G184),0))</f>
        <v>0</v>
      </c>
      <c r="H185" s="94">
        <f t="shared" si="0"/>
        <v>243306038</v>
      </c>
    </row>
    <row r="186" spans="1:8" ht="6" customHeight="1" x14ac:dyDescent="0.3">
      <c r="B186" s="35"/>
      <c r="C186" s="35"/>
      <c r="D186" s="35"/>
      <c r="E186" s="95"/>
      <c r="F186" s="95"/>
      <c r="G186" s="95"/>
      <c r="H186" s="99"/>
    </row>
    <row r="187" spans="1:8" x14ac:dyDescent="0.3">
      <c r="A187" s="9" t="s">
        <v>82</v>
      </c>
      <c r="B187" s="34"/>
      <c r="C187" s="34"/>
      <c r="D187" s="34"/>
      <c r="E187" s="94">
        <f>+E175-E185</f>
        <v>13989951</v>
      </c>
      <c r="F187" s="94">
        <f>+F175-F185</f>
        <v>0</v>
      </c>
      <c r="G187" s="94">
        <f>+G175-G185</f>
        <v>0</v>
      </c>
      <c r="H187" s="94">
        <f t="shared" si="0"/>
        <v>13989951</v>
      </c>
    </row>
    <row r="188" spans="1:8" ht="6.75" customHeight="1" x14ac:dyDescent="0.3">
      <c r="B188" s="34"/>
      <c r="C188" s="34"/>
      <c r="D188" s="34"/>
      <c r="E188" s="96"/>
      <c r="F188" s="96"/>
      <c r="G188" s="96"/>
      <c r="H188" s="109"/>
    </row>
    <row r="189" spans="1:8" x14ac:dyDescent="0.3">
      <c r="A189" s="9" t="s">
        <v>96</v>
      </c>
      <c r="B189" s="34"/>
      <c r="C189" s="34"/>
      <c r="D189" s="34"/>
      <c r="E189" s="152">
        <v>0</v>
      </c>
      <c r="F189" s="152">
        <v>0</v>
      </c>
      <c r="G189" s="152">
        <v>0</v>
      </c>
      <c r="H189" s="106">
        <f t="shared" si="0"/>
        <v>0</v>
      </c>
    </row>
    <row r="190" spans="1:8" x14ac:dyDescent="0.3">
      <c r="A190" s="9" t="s">
        <v>97</v>
      </c>
      <c r="B190" s="34"/>
      <c r="C190" s="34"/>
      <c r="D190" s="34"/>
      <c r="E190" s="152">
        <v>0</v>
      </c>
      <c r="F190" s="152">
        <v>0</v>
      </c>
      <c r="G190" s="152">
        <v>0</v>
      </c>
      <c r="H190" s="107">
        <f t="shared" si="0"/>
        <v>0</v>
      </c>
    </row>
    <row r="191" spans="1:8" x14ac:dyDescent="0.3">
      <c r="A191" s="45" t="s">
        <v>214</v>
      </c>
      <c r="B191" s="34"/>
      <c r="C191" s="34"/>
      <c r="D191" s="34"/>
      <c r="E191" s="101"/>
      <c r="F191" s="97"/>
      <c r="G191" s="97"/>
      <c r="H191" s="97">
        <f t="shared" si="0"/>
        <v>0</v>
      </c>
    </row>
    <row r="192" spans="1:8" x14ac:dyDescent="0.3">
      <c r="A192" s="45" t="s">
        <v>213</v>
      </c>
      <c r="B192" s="34"/>
      <c r="C192" s="34"/>
      <c r="D192" s="34"/>
      <c r="E192" s="98">
        <f>+E187+E189-E190</f>
        <v>13989951</v>
      </c>
      <c r="F192" s="98">
        <f>+F187+F189-F190</f>
        <v>0</v>
      </c>
      <c r="G192" s="98">
        <f>+G187+G189-G190</f>
        <v>0</v>
      </c>
      <c r="H192" s="98">
        <f t="shared" si="0"/>
        <v>13989951</v>
      </c>
    </row>
    <row r="193" spans="1:10" ht="6" customHeight="1" x14ac:dyDescent="0.3">
      <c r="B193" s="34"/>
      <c r="C193" s="34"/>
      <c r="D193" s="34"/>
      <c r="E193" s="99"/>
      <c r="F193" s="99"/>
      <c r="G193" s="99"/>
      <c r="H193" s="99"/>
    </row>
    <row r="194" spans="1:10" x14ac:dyDescent="0.3">
      <c r="A194" s="9" t="s">
        <v>199</v>
      </c>
      <c r="B194" s="34"/>
      <c r="C194" s="34"/>
      <c r="D194" s="34"/>
      <c r="E194" s="152">
        <v>48255577</v>
      </c>
      <c r="F194" s="141" t="s">
        <v>54</v>
      </c>
      <c r="G194" s="141" t="s">
        <v>54</v>
      </c>
      <c r="H194" s="106">
        <f t="shared" si="0"/>
        <v>48255577</v>
      </c>
    </row>
    <row r="195" spans="1:10" x14ac:dyDescent="0.3">
      <c r="A195" s="9" t="s">
        <v>200</v>
      </c>
      <c r="B195" s="34"/>
      <c r="C195" s="34"/>
      <c r="D195" s="34"/>
      <c r="E195" s="152">
        <v>0</v>
      </c>
      <c r="F195" s="142" t="s">
        <v>54</v>
      </c>
      <c r="G195" s="157">
        <v>0</v>
      </c>
      <c r="H195" s="106">
        <f t="shared" si="0"/>
        <v>0</v>
      </c>
    </row>
    <row r="196" spans="1:10" x14ac:dyDescent="0.3">
      <c r="A196" s="9" t="s">
        <v>83</v>
      </c>
      <c r="B196" s="34"/>
      <c r="C196" s="34"/>
      <c r="D196" s="34"/>
      <c r="E196" s="94">
        <f>+E194+E195</f>
        <v>48255577</v>
      </c>
      <c r="F196" s="143"/>
      <c r="G196" s="94">
        <f>G195</f>
        <v>0</v>
      </c>
      <c r="H196" s="94">
        <f t="shared" si="0"/>
        <v>48255577</v>
      </c>
    </row>
    <row r="197" spans="1:10" ht="6" customHeight="1" x14ac:dyDescent="0.3">
      <c r="A197" s="33"/>
      <c r="B197" s="38"/>
      <c r="C197" s="38"/>
      <c r="D197" s="38"/>
      <c r="E197" s="100"/>
      <c r="F197" s="100"/>
      <c r="G197" s="100"/>
      <c r="H197" s="100"/>
    </row>
    <row r="198" spans="1:10" x14ac:dyDescent="0.3">
      <c r="A198" s="9" t="s">
        <v>154</v>
      </c>
      <c r="B198" s="35"/>
      <c r="C198" s="35"/>
      <c r="D198" s="35"/>
      <c r="E198" s="98">
        <f>ROUND(SUM(+E192+E196),0)</f>
        <v>62245528</v>
      </c>
      <c r="F198" s="98">
        <f>ROUND(SUM(+F192+F196),0)</f>
        <v>0</v>
      </c>
      <c r="G198" s="98">
        <f>ROUND(SUM(+G192+G196),0)</f>
        <v>0</v>
      </c>
      <c r="H198" s="98">
        <f t="shared" si="0"/>
        <v>62245528</v>
      </c>
    </row>
    <row r="199" spans="1:10" ht="5.25" customHeight="1" x14ac:dyDescent="0.3">
      <c r="B199" s="35"/>
      <c r="C199" s="35"/>
      <c r="D199" s="35"/>
      <c r="E199" s="31"/>
      <c r="F199" s="95"/>
      <c r="G199" s="95"/>
      <c r="H199" s="31">
        <f t="shared" si="0"/>
        <v>0</v>
      </c>
    </row>
    <row r="200" spans="1:10" x14ac:dyDescent="0.3">
      <c r="A200" s="9" t="s">
        <v>155</v>
      </c>
      <c r="B200" s="34"/>
      <c r="C200" s="34"/>
      <c r="D200" s="34"/>
      <c r="E200" s="63"/>
      <c r="F200" s="96"/>
      <c r="G200" s="96"/>
      <c r="H200" s="32"/>
    </row>
    <row r="201" spans="1:10" x14ac:dyDescent="0.3">
      <c r="A201" s="9" t="s">
        <v>148</v>
      </c>
      <c r="B201" s="35"/>
      <c r="C201" s="35"/>
      <c r="D201" s="53"/>
      <c r="E201" s="152">
        <v>176403</v>
      </c>
      <c r="F201" s="152">
        <v>0</v>
      </c>
      <c r="G201" s="152">
        <v>0</v>
      </c>
      <c r="H201" s="107">
        <f>SUM(E201:G201)</f>
        <v>176403</v>
      </c>
    </row>
    <row r="202" spans="1:10" x14ac:dyDescent="0.3">
      <c r="A202" s="9" t="s">
        <v>149</v>
      </c>
      <c r="B202" s="9"/>
      <c r="C202" s="35"/>
      <c r="D202" s="35"/>
      <c r="E202" s="152">
        <v>38973909</v>
      </c>
      <c r="F202" s="152">
        <v>0</v>
      </c>
      <c r="G202" s="152">
        <v>0</v>
      </c>
      <c r="H202" s="107">
        <f>SUM(E202:G202)</f>
        <v>38973909</v>
      </c>
    </row>
    <row r="203" spans="1:10" x14ac:dyDescent="0.3">
      <c r="A203" s="9" t="s">
        <v>150</v>
      </c>
      <c r="B203" s="35"/>
      <c r="C203" s="35"/>
      <c r="D203" s="53"/>
      <c r="E203" s="152">
        <v>1200000</v>
      </c>
      <c r="F203" s="152">
        <v>0</v>
      </c>
      <c r="G203" s="152">
        <v>0</v>
      </c>
      <c r="H203" s="107">
        <f>SUM(E203:G203)</f>
        <v>1200000</v>
      </c>
    </row>
    <row r="204" spans="1:10" x14ac:dyDescent="0.3">
      <c r="A204" s="9" t="s">
        <v>151</v>
      </c>
      <c r="B204" s="35"/>
      <c r="C204" s="35"/>
      <c r="D204" s="53"/>
      <c r="E204" s="152">
        <v>10828286</v>
      </c>
      <c r="F204" s="152">
        <v>0</v>
      </c>
      <c r="G204" s="152">
        <v>0</v>
      </c>
      <c r="H204" s="107">
        <f>SUM(E204:G204)</f>
        <v>10828286</v>
      </c>
    </row>
    <row r="205" spans="1:10" s="9" customFormat="1" ht="25.5" customHeight="1" x14ac:dyDescent="0.3">
      <c r="A205" s="239" t="s">
        <v>152</v>
      </c>
      <c r="B205" s="239"/>
      <c r="C205" s="239"/>
      <c r="D205" s="240"/>
      <c r="E205" s="153">
        <f>SUM(E185+E190)*$G$152</f>
        <v>7299181.1399999997</v>
      </c>
      <c r="F205" s="153">
        <f>SUM(F185+F190)*$G$152</f>
        <v>0</v>
      </c>
      <c r="G205" s="153">
        <f>SUM(G185+G190)*$G$152</f>
        <v>0</v>
      </c>
      <c r="H205" s="153">
        <f>SUM(H185+H190)*$G$152</f>
        <v>7299181.1399999997</v>
      </c>
      <c r="I205" s="190">
        <f>H198-SUM(H201:H205)</f>
        <v>3767748.8599999994</v>
      </c>
      <c r="J205" s="191" t="s">
        <v>297</v>
      </c>
    </row>
    <row r="206" spans="1:10" s="9" customFormat="1" x14ac:dyDescent="0.3">
      <c r="A206" s="9" t="s">
        <v>153</v>
      </c>
      <c r="B206" s="35"/>
      <c r="C206" s="35"/>
      <c r="D206" s="53"/>
      <c r="E206" s="153">
        <f>E198-SUM(E201:E205)</f>
        <v>3767748.8599999994</v>
      </c>
      <c r="F206" s="153">
        <f>F198-SUM(F201:F205)</f>
        <v>0</v>
      </c>
      <c r="G206" s="153">
        <f>G198-SUM(G201:G205)</f>
        <v>0</v>
      </c>
      <c r="H206" s="94">
        <f>SUM(E206:G206)</f>
        <v>3767748.8599999994</v>
      </c>
    </row>
    <row r="207" spans="1:10" s="12" customFormat="1" ht="14.25" customHeight="1" x14ac:dyDescent="0.3">
      <c r="A207" s="12" t="s">
        <v>156</v>
      </c>
      <c r="E207" s="102">
        <f>SUM(E205+E206+E210)/(E185+E190)</f>
        <v>4.5485636488807567E-2</v>
      </c>
      <c r="F207" s="46"/>
      <c r="G207" s="46" t="str">
        <f>IF(H207&gt;=$G$152,"Meets","Does not Meet")</f>
        <v>Meets</v>
      </c>
      <c r="H207" s="102">
        <f>SUM(H205+H206+H210)/(H185+H190)</f>
        <v>4.5485636488807567E-2</v>
      </c>
    </row>
    <row r="208" spans="1:10" ht="12.5" x14ac:dyDescent="0.25">
      <c r="A208" s="103" t="s">
        <v>158</v>
      </c>
      <c r="E208" s="44" t="str">
        <f>IF(E198&lt;&gt;ROUND(SUM(E201:E206),0),"Not in Balance","In Balance")</f>
        <v>In Balance</v>
      </c>
      <c r="H208" s="44" t="str">
        <f>IF(H198&lt;&gt;ROUND(SUM(H201:H206),0),"Not in Balance","In Balance")</f>
        <v>In Balance</v>
      </c>
    </row>
    <row r="209" spans="1:8" x14ac:dyDescent="0.3">
      <c r="A209" s="103" t="s">
        <v>159</v>
      </c>
      <c r="E209" s="104">
        <f>+E198-E203-E205-E206-E201-E202-E204</f>
        <v>0</v>
      </c>
      <c r="F209" s="28" t="str">
        <f>IF(AND(E209=0,H209=0),"OK","Undesignated Amount")</f>
        <v>OK</v>
      </c>
      <c r="G209" s="28"/>
      <c r="H209" s="104">
        <f>+H198-H203-H205-H206-H201-H202-H204</f>
        <v>0</v>
      </c>
    </row>
    <row r="210" spans="1:8" s="35" customFormat="1" ht="11.5" x14ac:dyDescent="0.25">
      <c r="A210" s="35" t="s">
        <v>201</v>
      </c>
      <c r="E210" s="208"/>
      <c r="F210" s="51"/>
      <c r="G210" s="51"/>
      <c r="H210" s="208"/>
    </row>
    <row r="211" spans="1:8" s="35" customFormat="1" ht="6" customHeight="1" x14ac:dyDescent="0.25">
      <c r="E211" s="50"/>
      <c r="F211" s="51"/>
      <c r="G211" s="51"/>
      <c r="H211" s="50"/>
    </row>
    <row r="212" spans="1:8" s="35" customFormat="1" ht="30" customHeight="1" x14ac:dyDescent="0.25">
      <c r="A212" s="295" t="s">
        <v>236</v>
      </c>
      <c r="B212" s="291"/>
      <c r="C212" s="291"/>
      <c r="D212" s="291"/>
      <c r="E212" s="291"/>
      <c r="F212" s="291"/>
      <c r="G212" s="291"/>
      <c r="H212" s="291"/>
    </row>
    <row r="213" spans="1:8" s="35" customFormat="1" ht="11.5" x14ac:dyDescent="0.25">
      <c r="A213" s="267" t="s">
        <v>316</v>
      </c>
      <c r="B213" s="242"/>
      <c r="C213" s="242"/>
      <c r="D213" s="242"/>
      <c r="E213" s="242"/>
      <c r="F213" s="242"/>
      <c r="G213" s="242"/>
      <c r="H213" s="243"/>
    </row>
    <row r="214" spans="1:8" s="35" customFormat="1" ht="9" customHeight="1" x14ac:dyDescent="0.25">
      <c r="A214" s="244"/>
      <c r="B214" s="245"/>
      <c r="C214" s="245"/>
      <c r="D214" s="245"/>
      <c r="E214" s="245"/>
      <c r="F214" s="245"/>
      <c r="G214" s="245"/>
      <c r="H214" s="246"/>
    </row>
    <row r="215" spans="1:8" s="35" customFormat="1" ht="11.5" x14ac:dyDescent="0.25">
      <c r="A215" s="244"/>
      <c r="B215" s="245"/>
      <c r="C215" s="245"/>
      <c r="D215" s="245"/>
      <c r="E215" s="245"/>
      <c r="F215" s="245"/>
      <c r="G215" s="245"/>
      <c r="H215" s="246"/>
    </row>
    <row r="216" spans="1:8" s="35" customFormat="1" ht="11.5" x14ac:dyDescent="0.25">
      <c r="A216" s="247"/>
      <c r="B216" s="248"/>
      <c r="C216" s="248"/>
      <c r="D216" s="248"/>
      <c r="E216" s="248"/>
      <c r="F216" s="248"/>
      <c r="G216" s="248"/>
      <c r="H216" s="249"/>
    </row>
    <row r="217" spans="1:8" ht="15.5" x14ac:dyDescent="0.35">
      <c r="E217" s="236" t="s">
        <v>311</v>
      </c>
      <c r="F217" s="237"/>
      <c r="G217" s="238"/>
      <c r="H217" s="156"/>
    </row>
    <row r="218" spans="1:8" ht="12.5" x14ac:dyDescent="0.25">
      <c r="A218" s="35"/>
      <c r="B218" s="34"/>
      <c r="C218" s="34"/>
      <c r="D218" s="34"/>
      <c r="E218" s="155" t="s">
        <v>84</v>
      </c>
      <c r="F218" s="155" t="s">
        <v>85</v>
      </c>
      <c r="G218" s="155" t="s">
        <v>86</v>
      </c>
      <c r="H218" s="155" t="s">
        <v>87</v>
      </c>
    </row>
    <row r="219" spans="1:8" ht="58.9" customHeight="1" x14ac:dyDescent="0.25">
      <c r="A219" s="35"/>
      <c r="B219" s="34"/>
      <c r="C219" s="34"/>
      <c r="D219" s="34"/>
      <c r="E219" s="185" t="s">
        <v>314</v>
      </c>
      <c r="F219" s="254" t="s">
        <v>278</v>
      </c>
      <c r="G219" s="217" t="s">
        <v>279</v>
      </c>
      <c r="H219" s="254" t="s">
        <v>277</v>
      </c>
    </row>
    <row r="220" spans="1:8" ht="18.649999999999999" customHeight="1" x14ac:dyDescent="0.25">
      <c r="A220" s="35"/>
      <c r="B220" s="34"/>
      <c r="C220" s="34"/>
      <c r="D220" s="34"/>
      <c r="E220" s="186">
        <v>45199</v>
      </c>
      <c r="F220" s="255"/>
      <c r="G220" s="218"/>
      <c r="H220" s="255"/>
    </row>
    <row r="221" spans="1:8" x14ac:dyDescent="0.3">
      <c r="A221" s="45" t="s">
        <v>232</v>
      </c>
      <c r="B221" s="34"/>
      <c r="C221" s="34"/>
      <c r="D221" s="34"/>
      <c r="E221" s="205">
        <v>14570</v>
      </c>
      <c r="F221" s="154"/>
      <c r="G221" s="154"/>
      <c r="H221" s="205">
        <f>E221</f>
        <v>14570</v>
      </c>
    </row>
    <row r="222" spans="1:8" x14ac:dyDescent="0.3">
      <c r="A222" s="9" t="s">
        <v>194</v>
      </c>
      <c r="B222" s="34"/>
      <c r="C222" s="36"/>
      <c r="D222" s="30" t="s">
        <v>78</v>
      </c>
      <c r="E222" s="93">
        <v>180457394</v>
      </c>
      <c r="F222" s="93">
        <v>0</v>
      </c>
      <c r="G222" s="93">
        <v>0</v>
      </c>
      <c r="H222" s="107">
        <f>+E222+F222+G222</f>
        <v>180457394</v>
      </c>
    </row>
    <row r="223" spans="1:8" x14ac:dyDescent="0.3">
      <c r="A223" s="9" t="s">
        <v>79</v>
      </c>
      <c r="B223" s="34"/>
      <c r="C223" s="36"/>
      <c r="D223" s="30" t="s">
        <v>80</v>
      </c>
      <c r="E223" s="93">
        <f>230430923-E222</f>
        <v>49973529</v>
      </c>
      <c r="F223" s="93">
        <v>0</v>
      </c>
      <c r="G223" s="93">
        <v>0</v>
      </c>
      <c r="H223" s="107">
        <f>+E223+F223+G223</f>
        <v>49973529</v>
      </c>
    </row>
    <row r="224" spans="1:8" x14ac:dyDescent="0.3">
      <c r="B224" s="35"/>
      <c r="C224" s="35"/>
      <c r="D224" s="37" t="s">
        <v>81</v>
      </c>
      <c r="E224" s="94">
        <f>ROUND(SUM(E222:E223),0)</f>
        <v>230430923</v>
      </c>
      <c r="F224" s="94">
        <f>ROUND(SUM(F222:F223),0)</f>
        <v>0</v>
      </c>
      <c r="G224" s="94">
        <f>ROUND(SUM(G222:G223),0)</f>
        <v>0</v>
      </c>
      <c r="H224" s="94">
        <f>ROUND(SUM(H222:H223),0)</f>
        <v>230430923</v>
      </c>
    </row>
    <row r="225" spans="1:9" ht="5.25" customHeight="1" x14ac:dyDescent="0.3">
      <c r="B225" s="35"/>
      <c r="C225" s="35"/>
      <c r="D225" s="35"/>
      <c r="E225" s="95"/>
      <c r="F225" s="95"/>
      <c r="G225" s="95"/>
      <c r="H225" s="95"/>
    </row>
    <row r="226" spans="1:9" x14ac:dyDescent="0.3">
      <c r="A226" s="9" t="s">
        <v>88</v>
      </c>
      <c r="B226" s="35"/>
      <c r="C226" s="34"/>
      <c r="D226" s="34"/>
      <c r="E226" s="96"/>
      <c r="F226" s="96"/>
      <c r="G226" s="96"/>
      <c r="H226" s="108"/>
    </row>
    <row r="227" spans="1:9" x14ac:dyDescent="0.3">
      <c r="A227" s="9" t="s">
        <v>89</v>
      </c>
      <c r="B227" s="34"/>
      <c r="C227" s="34"/>
      <c r="D227" s="34"/>
      <c r="E227" s="152">
        <f>E178*1.015</f>
        <v>93385701.254999995</v>
      </c>
      <c r="F227" s="152">
        <f>F178*1.015</f>
        <v>0</v>
      </c>
      <c r="G227" s="203"/>
      <c r="H227" s="106">
        <f t="shared" ref="H227:H233" si="1">+E227+F227+G227</f>
        <v>93385701.254999995</v>
      </c>
      <c r="I227" s="52"/>
    </row>
    <row r="228" spans="1:9" x14ac:dyDescent="0.3">
      <c r="A228" s="9" t="s">
        <v>90</v>
      </c>
      <c r="B228" s="34"/>
      <c r="C228" s="34"/>
      <c r="D228" s="34"/>
      <c r="E228" s="152">
        <f>E179*1.015</f>
        <v>35653428.964999996</v>
      </c>
      <c r="F228" s="152">
        <v>0</v>
      </c>
      <c r="G228" s="152">
        <v>0</v>
      </c>
      <c r="H228" s="107">
        <f t="shared" si="1"/>
        <v>35653428.964999996</v>
      </c>
    </row>
    <row r="229" spans="1:9" x14ac:dyDescent="0.3">
      <c r="A229" s="9" t="s">
        <v>91</v>
      </c>
      <c r="B229" s="34"/>
      <c r="C229" s="34"/>
      <c r="D229" s="34"/>
      <c r="E229" s="152">
        <f>E180*1.015</f>
        <v>68328678.424999997</v>
      </c>
      <c r="F229" s="152">
        <f>F180*1.015</f>
        <v>0</v>
      </c>
      <c r="G229" s="203"/>
      <c r="H229" s="107">
        <f t="shared" si="1"/>
        <v>68328678.424999997</v>
      </c>
      <c r="I229" s="52"/>
    </row>
    <row r="230" spans="1:9" x14ac:dyDescent="0.3">
      <c r="A230" s="9" t="s">
        <v>92</v>
      </c>
      <c r="B230" s="34"/>
      <c r="C230" s="34"/>
      <c r="D230" s="34"/>
      <c r="E230" s="152">
        <v>12133122</v>
      </c>
      <c r="F230" s="152">
        <v>0</v>
      </c>
      <c r="G230" s="152">
        <v>0</v>
      </c>
      <c r="H230" s="107">
        <f t="shared" si="1"/>
        <v>12133122</v>
      </c>
    </row>
    <row r="231" spans="1:9" x14ac:dyDescent="0.3">
      <c r="A231" s="9" t="s">
        <v>93</v>
      </c>
      <c r="B231" s="34"/>
      <c r="C231" s="34"/>
      <c r="D231" s="34"/>
      <c r="E231" s="152">
        <v>23776545</v>
      </c>
      <c r="F231" s="152">
        <v>0</v>
      </c>
      <c r="G231" s="152">
        <v>0</v>
      </c>
      <c r="H231" s="107">
        <f t="shared" si="1"/>
        <v>23776545</v>
      </c>
    </row>
    <row r="232" spans="1:9" x14ac:dyDescent="0.3">
      <c r="A232" s="9" t="s">
        <v>94</v>
      </c>
      <c r="B232" s="34"/>
      <c r="C232" s="34"/>
      <c r="D232" s="34"/>
      <c r="E232" s="152">
        <v>1725032</v>
      </c>
      <c r="F232" s="152">
        <v>0</v>
      </c>
      <c r="G232" s="152">
        <v>0</v>
      </c>
      <c r="H232" s="107">
        <f t="shared" si="1"/>
        <v>1725032</v>
      </c>
    </row>
    <row r="233" spans="1:9" x14ac:dyDescent="0.3">
      <c r="A233" s="9" t="s">
        <v>95</v>
      </c>
      <c r="B233" s="34"/>
      <c r="C233" s="34"/>
      <c r="D233" s="34"/>
      <c r="E233" s="152">
        <f>E184</f>
        <v>102042</v>
      </c>
      <c r="F233" s="152">
        <v>0</v>
      </c>
      <c r="G233" s="152">
        <v>0</v>
      </c>
      <c r="H233" s="107">
        <f t="shared" si="1"/>
        <v>102042</v>
      </c>
    </row>
    <row r="234" spans="1:9" x14ac:dyDescent="0.3">
      <c r="B234" s="35"/>
      <c r="C234" s="35"/>
      <c r="D234" s="37" t="s">
        <v>81</v>
      </c>
      <c r="E234" s="94">
        <f>(ROUND(SUM(E227:E233),0))</f>
        <v>235104550</v>
      </c>
      <c r="F234" s="94">
        <f>(ROUND(SUM(F227:F233),0))</f>
        <v>0</v>
      </c>
      <c r="G234" s="94">
        <f>(ROUND(SUM(G227:G233),0))</f>
        <v>0</v>
      </c>
      <c r="H234" s="94">
        <f>(ROUND(SUM(H227:H233),0))</f>
        <v>235104550</v>
      </c>
    </row>
    <row r="235" spans="1:9" ht="7.5" customHeight="1" x14ac:dyDescent="0.3">
      <c r="B235" s="35"/>
      <c r="C235" s="35"/>
      <c r="D235" s="35"/>
      <c r="E235" s="95"/>
      <c r="F235" s="95"/>
      <c r="G235" s="95"/>
      <c r="H235" s="99"/>
    </row>
    <row r="236" spans="1:9" x14ac:dyDescent="0.3">
      <c r="A236" s="9" t="s">
        <v>233</v>
      </c>
      <c r="B236" s="34"/>
      <c r="C236" s="34"/>
      <c r="D236" s="34"/>
      <c r="E236" s="94">
        <f>+E224-E234</f>
        <v>-4673627</v>
      </c>
      <c r="F236" s="94">
        <f>+F224-F234</f>
        <v>0</v>
      </c>
      <c r="G236" s="94">
        <f>+G224-G234</f>
        <v>0</v>
      </c>
      <c r="H236" s="94">
        <f>+H224-H234</f>
        <v>-4673627</v>
      </c>
    </row>
    <row r="237" spans="1:9" ht="7.5" customHeight="1" x14ac:dyDescent="0.3">
      <c r="B237" s="34"/>
      <c r="C237" s="34"/>
      <c r="D237" s="34"/>
      <c r="E237" s="96"/>
      <c r="F237" s="96"/>
      <c r="G237" s="96"/>
      <c r="H237" s="109"/>
    </row>
    <row r="238" spans="1:9" x14ac:dyDescent="0.3">
      <c r="A238" s="9" t="s">
        <v>96</v>
      </c>
      <c r="B238" s="34"/>
      <c r="C238" s="34"/>
      <c r="D238" s="34"/>
      <c r="E238" s="152">
        <v>0</v>
      </c>
      <c r="F238" s="152">
        <v>0</v>
      </c>
      <c r="G238" s="152">
        <v>0</v>
      </c>
      <c r="H238" s="106">
        <f>+E238+F238+G238</f>
        <v>0</v>
      </c>
    </row>
    <row r="239" spans="1:9" x14ac:dyDescent="0.3">
      <c r="A239" s="9" t="s">
        <v>97</v>
      </c>
      <c r="B239" s="34"/>
      <c r="C239" s="34"/>
      <c r="D239" s="34"/>
      <c r="E239" s="152">
        <v>0</v>
      </c>
      <c r="F239" s="152">
        <v>0</v>
      </c>
      <c r="G239" s="152">
        <v>0</v>
      </c>
      <c r="H239" s="107">
        <f>+E239+F239+G239</f>
        <v>0</v>
      </c>
    </row>
    <row r="240" spans="1:9" x14ac:dyDescent="0.3">
      <c r="A240" s="45" t="s">
        <v>215</v>
      </c>
      <c r="B240" s="34"/>
      <c r="C240" s="34"/>
      <c r="D240" s="34"/>
      <c r="E240" s="101"/>
      <c r="F240" s="97"/>
      <c r="G240" s="97"/>
      <c r="H240" s="97"/>
    </row>
    <row r="241" spans="1:10" x14ac:dyDescent="0.3">
      <c r="A241" s="45" t="s">
        <v>213</v>
      </c>
      <c r="B241" s="34"/>
      <c r="C241" s="34"/>
      <c r="D241" s="34"/>
      <c r="E241" s="98">
        <f>+E236+E238-E239</f>
        <v>-4673627</v>
      </c>
      <c r="F241" s="98">
        <f>+F236+F238-F239</f>
        <v>0</v>
      </c>
      <c r="G241" s="98">
        <f>+G236+G238-G239</f>
        <v>0</v>
      </c>
      <c r="H241" s="98">
        <f>+H236+H238-H239</f>
        <v>-4673627</v>
      </c>
    </row>
    <row r="242" spans="1:10" ht="9" customHeight="1" x14ac:dyDescent="0.3">
      <c r="B242" s="34"/>
      <c r="C242" s="34"/>
      <c r="D242" s="34"/>
      <c r="E242" s="99"/>
      <c r="F242" s="99"/>
      <c r="G242" s="99"/>
      <c r="H242" s="99"/>
    </row>
    <row r="243" spans="1:10" ht="26.25" customHeight="1" x14ac:dyDescent="0.3">
      <c r="A243" s="239" t="s">
        <v>234</v>
      </c>
      <c r="B243" s="239"/>
      <c r="C243" s="239"/>
      <c r="D243" s="240"/>
      <c r="E243" s="112">
        <f>H198</f>
        <v>62245528</v>
      </c>
      <c r="F243" s="142" t="s">
        <v>54</v>
      </c>
      <c r="G243" s="142"/>
      <c r="H243" s="106">
        <f>H198</f>
        <v>62245528</v>
      </c>
    </row>
    <row r="244" spans="1:10" x14ac:dyDescent="0.3">
      <c r="A244" s="9" t="s">
        <v>157</v>
      </c>
      <c r="B244" s="34"/>
      <c r="C244" s="34"/>
      <c r="D244" s="34"/>
      <c r="E244" s="142"/>
      <c r="F244" s="142" t="s">
        <v>54</v>
      </c>
      <c r="G244" s="142"/>
      <c r="H244" s="107">
        <f>E244</f>
        <v>0</v>
      </c>
    </row>
    <row r="245" spans="1:10" x14ac:dyDescent="0.3">
      <c r="A245" s="9" t="s">
        <v>83</v>
      </c>
      <c r="B245" s="34"/>
      <c r="C245" s="34"/>
      <c r="D245" s="34"/>
      <c r="E245" s="94">
        <f>+E243+E244</f>
        <v>62245528</v>
      </c>
      <c r="F245" s="143"/>
      <c r="G245" s="143"/>
      <c r="H245" s="94">
        <f>+H243+H244</f>
        <v>62245528</v>
      </c>
    </row>
    <row r="246" spans="1:10" ht="6.75" customHeight="1" x14ac:dyDescent="0.3">
      <c r="A246" s="33"/>
      <c r="B246" s="38"/>
      <c r="C246" s="38"/>
      <c r="D246" s="38"/>
      <c r="E246" s="100"/>
      <c r="F246" s="100"/>
      <c r="G246" s="100"/>
      <c r="H246" s="100"/>
    </row>
    <row r="247" spans="1:10" x14ac:dyDescent="0.3">
      <c r="A247" s="9" t="s">
        <v>154</v>
      </c>
      <c r="B247" s="35"/>
      <c r="C247" s="35"/>
      <c r="D247" s="35"/>
      <c r="E247" s="98">
        <f>ROUND(SUM(+E241+E245),0)</f>
        <v>57571901</v>
      </c>
      <c r="F247" s="98">
        <f>ROUND(SUM(+F241+F245),0)</f>
        <v>0</v>
      </c>
      <c r="G247" s="98">
        <f>ROUND(SUM(+G241+G245),0)</f>
        <v>0</v>
      </c>
      <c r="H247" s="98">
        <f>ROUND(SUM(+H241+H245),0)</f>
        <v>57571901</v>
      </c>
    </row>
    <row r="248" spans="1:10" ht="7.5" customHeight="1" x14ac:dyDescent="0.3">
      <c r="B248" s="35"/>
      <c r="C248" s="35"/>
      <c r="D248" s="35"/>
      <c r="E248" s="95"/>
      <c r="F248" s="95"/>
      <c r="G248" s="95"/>
      <c r="H248" s="95"/>
    </row>
    <row r="249" spans="1:10" x14ac:dyDescent="0.3">
      <c r="A249" s="9" t="s">
        <v>216</v>
      </c>
      <c r="B249" s="34"/>
      <c r="C249" s="34"/>
      <c r="D249" s="34"/>
      <c r="E249" s="110"/>
      <c r="F249" s="96"/>
      <c r="G249" s="96"/>
      <c r="H249" s="111"/>
    </row>
    <row r="250" spans="1:10" x14ac:dyDescent="0.3">
      <c r="A250" s="9" t="s">
        <v>148</v>
      </c>
      <c r="B250" s="35"/>
      <c r="C250" s="35"/>
      <c r="D250" s="53"/>
      <c r="E250" s="152">
        <v>176403</v>
      </c>
      <c r="F250" s="152">
        <v>0</v>
      </c>
      <c r="G250" s="152">
        <v>0</v>
      </c>
      <c r="H250" s="107">
        <f>SUM(E250:G250)</f>
        <v>176403</v>
      </c>
    </row>
    <row r="251" spans="1:10" x14ac:dyDescent="0.3">
      <c r="A251" s="9" t="s">
        <v>149</v>
      </c>
      <c r="B251" s="9"/>
      <c r="C251" s="35"/>
      <c r="D251" s="35"/>
      <c r="E251" s="152">
        <v>36493590</v>
      </c>
      <c r="F251" s="152">
        <v>0</v>
      </c>
      <c r="G251" s="152">
        <v>0</v>
      </c>
      <c r="H251" s="107">
        <f>SUM(E251:G251)</f>
        <v>36493590</v>
      </c>
    </row>
    <row r="252" spans="1:10" x14ac:dyDescent="0.3">
      <c r="A252" s="9" t="s">
        <v>150</v>
      </c>
      <c r="B252" s="35"/>
      <c r="C252" s="35"/>
      <c r="D252" s="53"/>
      <c r="E252" s="152">
        <f t="shared" ref="E252" si="2">H203</f>
        <v>1200000</v>
      </c>
      <c r="F252" s="152">
        <v>0</v>
      </c>
      <c r="G252" s="152">
        <v>0</v>
      </c>
      <c r="H252" s="107">
        <f>SUM(E252:G252)</f>
        <v>1200000</v>
      </c>
    </row>
    <row r="253" spans="1:10" ht="12.75" customHeight="1" x14ac:dyDescent="0.3">
      <c r="A253" s="9" t="s">
        <v>151</v>
      </c>
      <c r="B253" s="35"/>
      <c r="C253" s="35"/>
      <c r="D253" s="53"/>
      <c r="E253" s="152">
        <v>8000000</v>
      </c>
      <c r="F253" s="152">
        <v>0</v>
      </c>
      <c r="G253" s="152">
        <v>0</v>
      </c>
      <c r="H253" s="107">
        <f>SUM(E253:G253)</f>
        <v>8000000</v>
      </c>
    </row>
    <row r="254" spans="1:10" x14ac:dyDescent="0.3">
      <c r="A254" s="239" t="s">
        <v>152</v>
      </c>
      <c r="B254" s="239"/>
      <c r="C254" s="239"/>
      <c r="D254" s="240"/>
      <c r="E254" s="153">
        <f>SUM(E234+E239)*G152</f>
        <v>7053136.5</v>
      </c>
      <c r="F254" s="153">
        <f>SUM(F234+F239)*$G$152</f>
        <v>0</v>
      </c>
      <c r="G254" s="153">
        <f>SUM(G234+G239)*$G$152</f>
        <v>0</v>
      </c>
      <c r="H254" s="94">
        <f>SUM(H234+H239)*G152</f>
        <v>7053136.5</v>
      </c>
      <c r="I254" s="190">
        <f>H247-SUM(H250:H254)</f>
        <v>4648771.5</v>
      </c>
      <c r="J254" s="191" t="s">
        <v>297</v>
      </c>
    </row>
    <row r="255" spans="1:10" s="12" customFormat="1" ht="14.25" customHeight="1" x14ac:dyDescent="0.3">
      <c r="A255" s="9" t="s">
        <v>153</v>
      </c>
      <c r="B255" s="35"/>
      <c r="C255" s="35"/>
      <c r="D255" s="53"/>
      <c r="E255" s="153">
        <f>E247-E250-E251-E252-E253-E254</f>
        <v>4648771.5</v>
      </c>
      <c r="F255" s="153">
        <f>F247-SUM(F250:F254)</f>
        <v>0</v>
      </c>
      <c r="G255" s="153">
        <f>G247-SUM(G250:G254)</f>
        <v>0</v>
      </c>
      <c r="H255" s="94">
        <f>SUM(E255:G255)</f>
        <v>4648771.5</v>
      </c>
    </row>
    <row r="256" spans="1:10" x14ac:dyDescent="0.3">
      <c r="A256" s="12" t="s">
        <v>156</v>
      </c>
      <c r="B256" s="12"/>
      <c r="C256" s="12"/>
      <c r="D256" s="12"/>
      <c r="E256" s="105">
        <f>SUM(E254+E255+E259)/(E234+E239)</f>
        <v>4.9773209408324935E-2</v>
      </c>
      <c r="F256" s="46"/>
      <c r="G256" s="46" t="str">
        <f>IF(H256&gt;=$G$152,"Meets","Does not Meet")</f>
        <v>Meets</v>
      </c>
      <c r="H256" s="105">
        <f>SUM(H254+H255+H259)/(H234+H239)</f>
        <v>4.9773209408324935E-2</v>
      </c>
    </row>
    <row r="257" spans="1:9" ht="12.5" x14ac:dyDescent="0.25">
      <c r="A257" s="103" t="s">
        <v>158</v>
      </c>
      <c r="E257" s="44" t="str">
        <f>IF(E247&lt;&gt;ROUND(SUM(E250+E251+E252+E253+E254+E255),0),"Not in Balance","In Balance")</f>
        <v>In Balance</v>
      </c>
      <c r="H257" s="44" t="str">
        <f>IF(H247&lt;&gt;ROUND(SUM(H250+H251+H252+H253+H254+H255),0),"Not in Balance","In Balance")</f>
        <v>In Balance</v>
      </c>
    </row>
    <row r="258" spans="1:9" s="9" customFormat="1" x14ac:dyDescent="0.3">
      <c r="A258" s="103" t="s">
        <v>159</v>
      </c>
      <c r="B258"/>
      <c r="C258"/>
      <c r="D258"/>
      <c r="E258" s="78">
        <f>+E247-E253-E254-E255-E251-E252-E250</f>
        <v>0</v>
      </c>
      <c r="F258" s="28" t="str">
        <f>IF(AND(E258=0,H258=0),"OK","Undesignated Amount")</f>
        <v>OK</v>
      </c>
      <c r="G258" s="28"/>
      <c r="H258" s="78">
        <f>+H247-H253-H254-H255-H251-H252-H250</f>
        <v>0</v>
      </c>
    </row>
    <row r="259" spans="1:9" ht="12.5" x14ac:dyDescent="0.25">
      <c r="A259" s="35" t="s">
        <v>201</v>
      </c>
      <c r="B259" s="35"/>
      <c r="C259" s="35"/>
      <c r="D259" s="35"/>
      <c r="E259" s="208"/>
      <c r="F259" s="51"/>
      <c r="G259" s="51"/>
      <c r="H259" s="208"/>
      <c r="I259" s="35"/>
    </row>
    <row r="260" spans="1:9" ht="4.5" customHeight="1" x14ac:dyDescent="0.25">
      <c r="A260" s="35"/>
      <c r="B260" s="35"/>
      <c r="C260" s="35"/>
      <c r="D260" s="35"/>
      <c r="E260" s="206"/>
      <c r="F260" s="51"/>
      <c r="G260" s="51"/>
      <c r="H260" s="206"/>
    </row>
    <row r="261" spans="1:9" ht="21.75" customHeight="1" x14ac:dyDescent="0.3">
      <c r="A261" s="77" t="s">
        <v>235</v>
      </c>
      <c r="H261" s="76"/>
    </row>
    <row r="262" spans="1:9" ht="12.5" x14ac:dyDescent="0.25">
      <c r="A262" s="271"/>
      <c r="B262" s="242"/>
      <c r="C262" s="242"/>
      <c r="D262" s="242"/>
      <c r="E262" s="242"/>
      <c r="F262" s="242"/>
      <c r="G262" s="242"/>
      <c r="H262" s="243"/>
    </row>
    <row r="263" spans="1:9" ht="12.5" x14ac:dyDescent="0.25">
      <c r="A263" s="244"/>
      <c r="B263" s="245"/>
      <c r="C263" s="245"/>
      <c r="D263" s="245"/>
      <c r="E263" s="245"/>
      <c r="F263" s="245"/>
      <c r="G263" s="245"/>
      <c r="H263" s="246"/>
    </row>
    <row r="264" spans="1:9" ht="12.5" x14ac:dyDescent="0.25">
      <c r="A264" s="244"/>
      <c r="B264" s="245"/>
      <c r="C264" s="245"/>
      <c r="D264" s="245"/>
      <c r="E264" s="245"/>
      <c r="F264" s="245"/>
      <c r="G264" s="245"/>
      <c r="H264" s="246"/>
    </row>
    <row r="265" spans="1:9" ht="12.5" x14ac:dyDescent="0.25">
      <c r="A265" s="244"/>
      <c r="B265" s="245"/>
      <c r="C265" s="245"/>
      <c r="D265" s="245"/>
      <c r="E265" s="245"/>
      <c r="F265" s="245"/>
      <c r="G265" s="245"/>
      <c r="H265" s="246"/>
    </row>
    <row r="266" spans="1:9" ht="12.5" x14ac:dyDescent="0.25">
      <c r="A266" s="244"/>
      <c r="B266" s="245"/>
      <c r="C266" s="245"/>
      <c r="D266" s="245"/>
      <c r="E266" s="245"/>
      <c r="F266" s="245"/>
      <c r="G266" s="245"/>
      <c r="H266" s="246"/>
    </row>
    <row r="267" spans="1:9" ht="12.5" x14ac:dyDescent="0.25">
      <c r="A267" s="247"/>
      <c r="B267" s="248"/>
      <c r="C267" s="248"/>
      <c r="D267" s="248"/>
      <c r="E267" s="248"/>
      <c r="F267" s="248"/>
      <c r="G267" s="248"/>
      <c r="H267" s="249"/>
    </row>
    <row r="268" spans="1:9" ht="15.5" x14ac:dyDescent="0.35">
      <c r="E268" s="268" t="s">
        <v>312</v>
      </c>
      <c r="F268" s="269"/>
      <c r="G268" s="270"/>
    </row>
    <row r="269" spans="1:9" ht="12.5" x14ac:dyDescent="0.25">
      <c r="A269" s="35"/>
      <c r="B269" s="34"/>
      <c r="C269" s="34"/>
      <c r="D269" s="34"/>
      <c r="E269" s="155" t="s">
        <v>84</v>
      </c>
      <c r="F269" s="155" t="s">
        <v>85</v>
      </c>
      <c r="G269" s="155" t="s">
        <v>86</v>
      </c>
      <c r="H269" s="155" t="s">
        <v>87</v>
      </c>
    </row>
    <row r="270" spans="1:9" ht="58.9" customHeight="1" x14ac:dyDescent="0.25">
      <c r="A270" s="35"/>
      <c r="B270" s="34"/>
      <c r="C270" s="34"/>
      <c r="D270" s="34"/>
      <c r="E270" s="185" t="s">
        <v>314</v>
      </c>
      <c r="F270" s="254" t="s">
        <v>278</v>
      </c>
      <c r="G270" s="217" t="s">
        <v>279</v>
      </c>
      <c r="H270" s="254" t="s">
        <v>277</v>
      </c>
    </row>
    <row r="271" spans="1:9" ht="18.649999999999999" customHeight="1" x14ac:dyDescent="0.25">
      <c r="A271" s="35"/>
      <c r="B271" s="34"/>
      <c r="C271" s="34"/>
      <c r="D271" s="34"/>
      <c r="E271" s="186">
        <v>45199</v>
      </c>
      <c r="F271" s="255"/>
      <c r="G271" s="218"/>
      <c r="H271" s="255"/>
    </row>
    <row r="272" spans="1:9" x14ac:dyDescent="0.3">
      <c r="A272" s="45" t="s">
        <v>232</v>
      </c>
      <c r="B272" s="34"/>
      <c r="C272" s="34"/>
      <c r="D272" s="34"/>
      <c r="E272" s="205">
        <v>14431</v>
      </c>
      <c r="F272" s="154"/>
      <c r="G272" s="154"/>
      <c r="H272" s="205">
        <f>E272</f>
        <v>14431</v>
      </c>
    </row>
    <row r="273" spans="1:8" x14ac:dyDescent="0.3">
      <c r="A273" s="9" t="s">
        <v>194</v>
      </c>
      <c r="B273" s="34"/>
      <c r="C273" s="36"/>
      <c r="D273" s="30" t="s">
        <v>78</v>
      </c>
      <c r="E273" s="152">
        <v>182283251</v>
      </c>
      <c r="F273" s="152">
        <v>0</v>
      </c>
      <c r="G273" s="152">
        <v>0</v>
      </c>
      <c r="H273" s="107">
        <f>+E273+F273+G273</f>
        <v>182283251</v>
      </c>
    </row>
    <row r="274" spans="1:8" x14ac:dyDescent="0.3">
      <c r="A274" s="9" t="s">
        <v>79</v>
      </c>
      <c r="B274" s="34"/>
      <c r="C274" s="36"/>
      <c r="D274" s="30" t="s">
        <v>80</v>
      </c>
      <c r="E274" s="152">
        <f>232219698-E273</f>
        <v>49936447</v>
      </c>
      <c r="F274" s="152">
        <v>0</v>
      </c>
      <c r="G274" s="152">
        <v>0</v>
      </c>
      <c r="H274" s="107">
        <f>+E274+F274+G274</f>
        <v>49936447</v>
      </c>
    </row>
    <row r="275" spans="1:8" x14ac:dyDescent="0.3">
      <c r="B275" s="35"/>
      <c r="C275" s="35"/>
      <c r="D275" s="37" t="s">
        <v>81</v>
      </c>
      <c r="E275" s="94">
        <f>ROUND(SUM(E273:E274),0)</f>
        <v>232219698</v>
      </c>
      <c r="F275" s="94">
        <f>ROUND(SUM(F273:F274),0)</f>
        <v>0</v>
      </c>
      <c r="G275" s="94">
        <f>ROUND(SUM(G273:G274),0)</f>
        <v>0</v>
      </c>
      <c r="H275" s="94">
        <f>ROUND(SUM(H273:H274),0)</f>
        <v>232219698</v>
      </c>
    </row>
    <row r="276" spans="1:8" ht="9.75" customHeight="1" x14ac:dyDescent="0.3">
      <c r="B276" s="35"/>
      <c r="C276" s="35"/>
      <c r="D276" s="35"/>
      <c r="E276" s="95"/>
      <c r="F276" s="95"/>
      <c r="G276" s="95"/>
      <c r="H276" s="95"/>
    </row>
    <row r="277" spans="1:8" x14ac:dyDescent="0.3">
      <c r="A277" s="9" t="s">
        <v>88</v>
      </c>
      <c r="B277" s="35"/>
      <c r="C277" s="34"/>
      <c r="D277" s="34"/>
      <c r="E277" s="96"/>
      <c r="F277" s="96"/>
      <c r="G277" s="96"/>
      <c r="H277" s="108"/>
    </row>
    <row r="278" spans="1:8" x14ac:dyDescent="0.3">
      <c r="A278" s="9" t="s">
        <v>89</v>
      </c>
      <c r="B278" s="34"/>
      <c r="C278" s="34"/>
      <c r="D278" s="34"/>
      <c r="E278" s="152">
        <f>E227*1.015</f>
        <v>94786486.77382499</v>
      </c>
      <c r="F278" s="152">
        <f>F227*1.015</f>
        <v>0</v>
      </c>
      <c r="G278" s="203"/>
      <c r="H278" s="106">
        <f t="shared" ref="H278:H284" si="3">+E278+F278+G278</f>
        <v>94786486.77382499</v>
      </c>
    </row>
    <row r="279" spans="1:8" x14ac:dyDescent="0.3">
      <c r="A279" s="9" t="s">
        <v>90</v>
      </c>
      <c r="B279" s="34"/>
      <c r="C279" s="34"/>
      <c r="D279" s="34"/>
      <c r="E279" s="152">
        <f t="shared" ref="E279:E280" si="4">E228*1.015</f>
        <v>36188230.399474993</v>
      </c>
      <c r="F279" s="152">
        <v>0</v>
      </c>
      <c r="G279" s="152">
        <v>0</v>
      </c>
      <c r="H279" s="107">
        <f t="shared" si="3"/>
        <v>36188230.399474993</v>
      </c>
    </row>
    <row r="280" spans="1:8" x14ac:dyDescent="0.3">
      <c r="A280" s="9" t="s">
        <v>91</v>
      </c>
      <c r="B280" s="34"/>
      <c r="C280" s="34"/>
      <c r="D280" s="34"/>
      <c r="E280" s="152">
        <f t="shared" si="4"/>
        <v>69353608.601374984</v>
      </c>
      <c r="F280" s="152">
        <f>F229*1.015</f>
        <v>0</v>
      </c>
      <c r="G280" s="203"/>
      <c r="H280" s="107">
        <f t="shared" si="3"/>
        <v>69353608.601374984</v>
      </c>
    </row>
    <row r="281" spans="1:8" x14ac:dyDescent="0.3">
      <c r="A281" s="9" t="s">
        <v>92</v>
      </c>
      <c r="B281" s="34"/>
      <c r="C281" s="34"/>
      <c r="D281" s="34"/>
      <c r="E281" s="152">
        <v>12070830</v>
      </c>
      <c r="F281" s="152">
        <v>0</v>
      </c>
      <c r="G281" s="152">
        <v>0</v>
      </c>
      <c r="H281" s="107">
        <f t="shared" si="3"/>
        <v>12070830</v>
      </c>
    </row>
    <row r="282" spans="1:8" x14ac:dyDescent="0.3">
      <c r="A282" s="9" t="s">
        <v>93</v>
      </c>
      <c r="B282" s="34"/>
      <c r="C282" s="34"/>
      <c r="D282" s="34"/>
      <c r="E282" s="152">
        <v>22649315</v>
      </c>
      <c r="F282" s="152">
        <v>0</v>
      </c>
      <c r="G282" s="152">
        <v>0</v>
      </c>
      <c r="H282" s="107">
        <f t="shared" si="3"/>
        <v>22649315</v>
      </c>
    </row>
    <row r="283" spans="1:8" x14ac:dyDescent="0.3">
      <c r="A283" s="9" t="s">
        <v>94</v>
      </c>
      <c r="B283" s="34"/>
      <c r="C283" s="34"/>
      <c r="D283" s="34"/>
      <c r="E283" s="152">
        <v>1362980</v>
      </c>
      <c r="F283" s="152">
        <v>0</v>
      </c>
      <c r="G283" s="152">
        <v>0</v>
      </c>
      <c r="H283" s="107">
        <f t="shared" si="3"/>
        <v>1362980</v>
      </c>
    </row>
    <row r="284" spans="1:8" x14ac:dyDescent="0.3">
      <c r="A284" s="9" t="s">
        <v>95</v>
      </c>
      <c r="B284" s="34"/>
      <c r="C284" s="34"/>
      <c r="D284" s="34"/>
      <c r="E284" s="152">
        <v>102042</v>
      </c>
      <c r="F284" s="152">
        <v>0</v>
      </c>
      <c r="G284" s="152">
        <v>0</v>
      </c>
      <c r="H284" s="107">
        <f t="shared" si="3"/>
        <v>102042</v>
      </c>
    </row>
    <row r="285" spans="1:8" x14ac:dyDescent="0.3">
      <c r="B285" s="35"/>
      <c r="C285" s="35"/>
      <c r="D285" s="37" t="s">
        <v>81</v>
      </c>
      <c r="E285" s="94">
        <f>(ROUND(SUM(E278:E284),0))</f>
        <v>236513493</v>
      </c>
      <c r="F285" s="94">
        <f>(ROUND(SUM(F278:F284),0))</f>
        <v>0</v>
      </c>
      <c r="G285" s="94">
        <f>(ROUND(SUM(G278:G284),0))</f>
        <v>0</v>
      </c>
      <c r="H285" s="94">
        <f>(ROUND(SUM(H278:H284),0))</f>
        <v>236513493</v>
      </c>
    </row>
    <row r="286" spans="1:8" ht="8.25" customHeight="1" x14ac:dyDescent="0.3">
      <c r="B286" s="35"/>
      <c r="C286" s="35"/>
      <c r="D286" s="35"/>
      <c r="E286" s="95"/>
      <c r="F286" s="95"/>
      <c r="G286" s="95"/>
      <c r="H286" s="99"/>
    </row>
    <row r="287" spans="1:8" x14ac:dyDescent="0.3">
      <c r="A287" s="9" t="s">
        <v>233</v>
      </c>
      <c r="B287" s="34"/>
      <c r="C287" s="34"/>
      <c r="D287" s="34"/>
      <c r="E287" s="94">
        <f>+E275-E285</f>
        <v>-4293795</v>
      </c>
      <c r="F287" s="94">
        <f>+F275-F285</f>
        <v>0</v>
      </c>
      <c r="G287" s="94">
        <f>+G275-G285</f>
        <v>0</v>
      </c>
      <c r="H287" s="94">
        <f>+H275-H285</f>
        <v>-4293795</v>
      </c>
    </row>
    <row r="288" spans="1:8" ht="9.75" customHeight="1" x14ac:dyDescent="0.3">
      <c r="B288" s="34"/>
      <c r="C288" s="34"/>
      <c r="D288" s="34"/>
      <c r="E288" s="96"/>
      <c r="F288" s="96"/>
      <c r="G288" s="96"/>
      <c r="H288" s="109"/>
    </row>
    <row r="289" spans="1:8" x14ac:dyDescent="0.3">
      <c r="A289" s="9" t="s">
        <v>96</v>
      </c>
      <c r="B289" s="34"/>
      <c r="C289" s="34"/>
      <c r="D289" s="34"/>
      <c r="E289" s="152">
        <v>0</v>
      </c>
      <c r="F289" s="152">
        <v>0</v>
      </c>
      <c r="G289" s="152">
        <v>0</v>
      </c>
      <c r="H289" s="106">
        <f>+E289+F289+G289</f>
        <v>0</v>
      </c>
    </row>
    <row r="290" spans="1:8" x14ac:dyDescent="0.3">
      <c r="A290" s="9" t="s">
        <v>97</v>
      </c>
      <c r="B290" s="34"/>
      <c r="C290" s="34"/>
      <c r="D290" s="34"/>
      <c r="E290" s="152">
        <v>0</v>
      </c>
      <c r="F290" s="152">
        <v>0</v>
      </c>
      <c r="G290" s="152">
        <v>0</v>
      </c>
      <c r="H290" s="107">
        <f>+E290+F290+G290</f>
        <v>0</v>
      </c>
    </row>
    <row r="291" spans="1:8" x14ac:dyDescent="0.3">
      <c r="A291" s="45" t="s">
        <v>215</v>
      </c>
      <c r="B291" s="34"/>
      <c r="C291" s="34"/>
      <c r="D291" s="34"/>
      <c r="E291" s="101"/>
      <c r="F291" s="97"/>
      <c r="G291" s="97"/>
      <c r="H291" s="97"/>
    </row>
    <row r="292" spans="1:8" x14ac:dyDescent="0.3">
      <c r="A292" s="45" t="s">
        <v>213</v>
      </c>
      <c r="B292" s="34"/>
      <c r="C292" s="34"/>
      <c r="D292" s="34"/>
      <c r="E292" s="98">
        <f>+E287+E289-E290</f>
        <v>-4293795</v>
      </c>
      <c r="F292" s="98">
        <f>+F287+F289-F290</f>
        <v>0</v>
      </c>
      <c r="G292" s="98">
        <f>+G287+G289-G290</f>
        <v>0</v>
      </c>
      <c r="H292" s="98">
        <f>+H287+H289-H290</f>
        <v>-4293795</v>
      </c>
    </row>
    <row r="293" spans="1:8" x14ac:dyDescent="0.3">
      <c r="B293" s="34"/>
      <c r="C293" s="34"/>
      <c r="D293" s="34"/>
      <c r="E293" s="99"/>
      <c r="F293" s="99"/>
      <c r="G293" s="99"/>
      <c r="H293" s="99"/>
    </row>
    <row r="294" spans="1:8" ht="26.25" customHeight="1" x14ac:dyDescent="0.3">
      <c r="A294" s="239" t="s">
        <v>237</v>
      </c>
      <c r="B294" s="239"/>
      <c r="C294" s="239"/>
      <c r="D294" s="240"/>
      <c r="E294" s="207">
        <f>H247</f>
        <v>57571901</v>
      </c>
      <c r="F294" s="142" t="s">
        <v>54</v>
      </c>
      <c r="G294" s="142"/>
      <c r="H294" s="106">
        <f>H247</f>
        <v>57571901</v>
      </c>
    </row>
    <row r="295" spans="1:8" x14ac:dyDescent="0.3">
      <c r="A295" s="9" t="s">
        <v>157</v>
      </c>
      <c r="B295" s="34"/>
      <c r="C295" s="34"/>
      <c r="D295" s="34"/>
      <c r="E295" s="142"/>
      <c r="F295" s="142" t="s">
        <v>54</v>
      </c>
      <c r="G295" s="142"/>
      <c r="H295" s="107">
        <f>E295</f>
        <v>0</v>
      </c>
    </row>
    <row r="296" spans="1:8" x14ac:dyDescent="0.3">
      <c r="A296" s="9" t="s">
        <v>83</v>
      </c>
      <c r="B296" s="34"/>
      <c r="C296" s="34"/>
      <c r="D296" s="34"/>
      <c r="E296" s="94">
        <f>+E294+E295</f>
        <v>57571901</v>
      </c>
      <c r="F296" s="143"/>
      <c r="G296" s="143"/>
      <c r="H296" s="94">
        <f>+H294+H295</f>
        <v>57571901</v>
      </c>
    </row>
    <row r="297" spans="1:8" x14ac:dyDescent="0.3">
      <c r="A297" s="33"/>
      <c r="B297" s="38"/>
      <c r="C297" s="38"/>
      <c r="D297" s="38"/>
      <c r="E297" s="100"/>
      <c r="F297" s="100"/>
      <c r="G297" s="100"/>
      <c r="H297" s="100"/>
    </row>
    <row r="298" spans="1:8" x14ac:dyDescent="0.3">
      <c r="A298" s="9" t="s">
        <v>154</v>
      </c>
      <c r="B298" s="35"/>
      <c r="C298" s="35"/>
      <c r="D298" s="35"/>
      <c r="E298" s="98">
        <f>ROUND(SUM(+E292+E296),0)</f>
        <v>53278106</v>
      </c>
      <c r="F298" s="98">
        <f>ROUND(SUM(+F292+F296),0)</f>
        <v>0</v>
      </c>
      <c r="G298" s="98">
        <f>ROUND(SUM(+G292+G296),0)</f>
        <v>0</v>
      </c>
      <c r="H298" s="98">
        <f>ROUND(SUM(+H292+H296),0)</f>
        <v>53278106</v>
      </c>
    </row>
    <row r="299" spans="1:8" x14ac:dyDescent="0.3">
      <c r="B299" s="35"/>
      <c r="C299" s="35"/>
      <c r="D299" s="35"/>
      <c r="E299" s="95"/>
      <c r="F299" s="95"/>
      <c r="G299" s="95"/>
      <c r="H299" s="95"/>
    </row>
    <row r="300" spans="1:8" x14ac:dyDescent="0.3">
      <c r="A300" s="9" t="s">
        <v>216</v>
      </c>
      <c r="B300" s="34"/>
      <c r="C300" s="34"/>
      <c r="D300" s="34"/>
      <c r="E300" s="110"/>
      <c r="F300" s="96"/>
      <c r="G300" s="96"/>
      <c r="H300" s="111"/>
    </row>
    <row r="301" spans="1:8" x14ac:dyDescent="0.3">
      <c r="A301" s="9" t="s">
        <v>148</v>
      </c>
      <c r="B301" s="35"/>
      <c r="C301" s="35"/>
      <c r="D301" s="53"/>
      <c r="E301" s="152">
        <f>H250</f>
        <v>176403</v>
      </c>
      <c r="F301" s="152">
        <v>0</v>
      </c>
      <c r="G301" s="152">
        <v>0</v>
      </c>
      <c r="H301" s="107">
        <f>SUM(E301:G301)</f>
        <v>176403</v>
      </c>
    </row>
    <row r="302" spans="1:8" x14ac:dyDescent="0.3">
      <c r="A302" s="9" t="s">
        <v>149</v>
      </c>
      <c r="B302" s="9"/>
      <c r="C302" s="35"/>
      <c r="D302" s="35"/>
      <c r="E302" s="152">
        <v>37334861</v>
      </c>
      <c r="F302" s="152">
        <v>0</v>
      </c>
      <c r="G302" s="152">
        <v>0</v>
      </c>
      <c r="H302" s="107">
        <f>SUM(E302:G302)</f>
        <v>37334861</v>
      </c>
    </row>
    <row r="303" spans="1:8" x14ac:dyDescent="0.3">
      <c r="A303" s="9" t="s">
        <v>150</v>
      </c>
      <c r="B303" s="35"/>
      <c r="C303" s="35"/>
      <c r="D303" s="53"/>
      <c r="E303" s="152">
        <f t="shared" ref="E303" si="5">H252</f>
        <v>1200000</v>
      </c>
      <c r="F303" s="152">
        <v>0</v>
      </c>
      <c r="G303" s="152">
        <v>0</v>
      </c>
      <c r="H303" s="107">
        <f>SUM(E303:G303)</f>
        <v>1200000</v>
      </c>
    </row>
    <row r="304" spans="1:8" x14ac:dyDescent="0.3">
      <c r="A304" s="9" t="s">
        <v>151</v>
      </c>
      <c r="B304" s="35"/>
      <c r="C304" s="35"/>
      <c r="D304" s="53"/>
      <c r="E304" s="152">
        <v>5000000</v>
      </c>
      <c r="F304" s="152">
        <v>0</v>
      </c>
      <c r="G304" s="152">
        <v>0</v>
      </c>
      <c r="H304" s="107">
        <f>SUM(E304:G304)</f>
        <v>5000000</v>
      </c>
    </row>
    <row r="305" spans="1:10" ht="12.75" customHeight="1" x14ac:dyDescent="0.3">
      <c r="A305" s="239" t="s">
        <v>152</v>
      </c>
      <c r="B305" s="239"/>
      <c r="C305" s="239"/>
      <c r="D305" s="240"/>
      <c r="E305" s="153">
        <f>SUM(E285+E290)*$G$152</f>
        <v>7095404.79</v>
      </c>
      <c r="F305" s="153">
        <f>SUM(F285+F290)*$G$152</f>
        <v>0</v>
      </c>
      <c r="G305" s="153">
        <f>SUM(G285+G290)*$G$152</f>
        <v>0</v>
      </c>
      <c r="H305" s="94">
        <f>SUM(H285+H290)*G152</f>
        <v>7095404.79</v>
      </c>
      <c r="I305" s="190">
        <f>H298-SUM(H301:H305)</f>
        <v>2471437.2100000009</v>
      </c>
      <c r="J305" s="191" t="s">
        <v>297</v>
      </c>
    </row>
    <row r="306" spans="1:10" s="12" customFormat="1" ht="14.25" customHeight="1" x14ac:dyDescent="0.3">
      <c r="A306" s="9" t="s">
        <v>153</v>
      </c>
      <c r="B306" s="35"/>
      <c r="C306" s="35"/>
      <c r="D306" s="53"/>
      <c r="E306" s="153">
        <f>E298-E301-E302-E303-E304-E305</f>
        <v>2471437.21</v>
      </c>
      <c r="F306" s="153">
        <f>F298-SUM(F301:F305)</f>
        <v>0</v>
      </c>
      <c r="G306" s="153">
        <f>G298-SUM(G301:G305)</f>
        <v>0</v>
      </c>
      <c r="H306" s="94">
        <f>SUM(E306:G306)</f>
        <v>2471437.21</v>
      </c>
    </row>
    <row r="307" spans="1:10" x14ac:dyDescent="0.3">
      <c r="A307" s="12" t="s">
        <v>156</v>
      </c>
      <c r="B307" s="12"/>
      <c r="C307" s="12"/>
      <c r="D307" s="12"/>
      <c r="E307" s="105">
        <f>SUM(E305+E306+E310)/(E285+E290)</f>
        <v>4.0449455456649144E-2</v>
      </c>
      <c r="F307" s="46"/>
      <c r="G307" s="46" t="str">
        <f>IF(H307&gt;=$G$152,"Meets","Does not Meet")</f>
        <v>Meets</v>
      </c>
      <c r="H307" s="105">
        <f>SUM(H305+H306+H310)/(H285+H290)</f>
        <v>4.0449455456649144E-2</v>
      </c>
    </row>
    <row r="308" spans="1:10" ht="12.5" x14ac:dyDescent="0.25">
      <c r="A308" s="103" t="s">
        <v>158</v>
      </c>
      <c r="E308" s="44" t="str">
        <f>IF(E298&lt;&gt;ROUND(SUM(E301+E302+E303+E304+E305+E306),0),"Not in Balance","In Balance")</f>
        <v>In Balance</v>
      </c>
      <c r="H308" s="44" t="str">
        <f>IF(H298&lt;&gt;ROUND(SUM(H301+H302+H303+H304+H305+H306),0),"Not in Balance","In Balance")</f>
        <v>In Balance</v>
      </c>
    </row>
    <row r="309" spans="1:10" s="9" customFormat="1" x14ac:dyDescent="0.3">
      <c r="A309" s="103" t="s">
        <v>159</v>
      </c>
      <c r="B309"/>
      <c r="C309"/>
      <c r="D309"/>
      <c r="E309" s="104">
        <f>+E298-E304-E305-E306-E302-E303-E301</f>
        <v>0</v>
      </c>
      <c r="F309" s="28" t="str">
        <f>IF(AND(E309=0,H309=0),"OK","Undesignated Amount")</f>
        <v>OK</v>
      </c>
      <c r="G309" s="28"/>
      <c r="H309" s="104">
        <f>+H298-H304-H305-H306-H302-H303-H301</f>
        <v>0</v>
      </c>
    </row>
    <row r="310" spans="1:10" s="9" customFormat="1" x14ac:dyDescent="0.3">
      <c r="A310" s="35" t="s">
        <v>201</v>
      </c>
      <c r="B310" s="35"/>
      <c r="C310" s="35"/>
      <c r="D310" s="35"/>
      <c r="E310" s="208"/>
      <c r="F310" s="51"/>
      <c r="G310" s="51"/>
      <c r="H310" s="208"/>
      <c r="I310" s="35"/>
    </row>
    <row r="311" spans="1:10" ht="21.75" customHeight="1" x14ac:dyDescent="0.3">
      <c r="A311" s="77" t="s">
        <v>238</v>
      </c>
    </row>
    <row r="312" spans="1:10" ht="12.5" x14ac:dyDescent="0.25">
      <c r="A312" s="271"/>
      <c r="B312" s="242"/>
      <c r="C312" s="242"/>
      <c r="D312" s="242"/>
      <c r="E312" s="242"/>
      <c r="F312" s="242"/>
      <c r="G312" s="242"/>
      <c r="H312" s="243"/>
    </row>
    <row r="313" spans="1:10" ht="12.5" x14ac:dyDescent="0.25">
      <c r="A313" s="244"/>
      <c r="B313" s="245"/>
      <c r="C313" s="245"/>
      <c r="D313" s="245"/>
      <c r="E313" s="245"/>
      <c r="F313" s="245"/>
      <c r="G313" s="245"/>
      <c r="H313" s="246"/>
    </row>
    <row r="314" spans="1:10" ht="12.5" x14ac:dyDescent="0.25">
      <c r="A314" s="244"/>
      <c r="B314" s="245"/>
      <c r="C314" s="245"/>
      <c r="D314" s="245"/>
      <c r="E314" s="245"/>
      <c r="F314" s="245"/>
      <c r="G314" s="245"/>
      <c r="H314" s="246"/>
    </row>
    <row r="315" spans="1:10" ht="12.5" x14ac:dyDescent="0.25">
      <c r="A315" s="244"/>
      <c r="B315" s="245"/>
      <c r="C315" s="245"/>
      <c r="D315" s="245"/>
      <c r="E315" s="245"/>
      <c r="F315" s="245"/>
      <c r="G315" s="245"/>
      <c r="H315" s="246"/>
    </row>
    <row r="316" spans="1:10" ht="12.5" x14ac:dyDescent="0.25">
      <c r="A316" s="244"/>
      <c r="B316" s="245"/>
      <c r="C316" s="245"/>
      <c r="D316" s="245"/>
      <c r="E316" s="245"/>
      <c r="F316" s="245"/>
      <c r="G316" s="245"/>
      <c r="H316" s="246"/>
    </row>
    <row r="317" spans="1:10" ht="12.5" x14ac:dyDescent="0.25">
      <c r="A317" s="244"/>
      <c r="B317" s="245"/>
      <c r="C317" s="245"/>
      <c r="D317" s="245"/>
      <c r="E317" s="245"/>
      <c r="F317" s="245"/>
      <c r="G317" s="245"/>
      <c r="H317" s="246"/>
    </row>
    <row r="318" spans="1:10" ht="12.5" x14ac:dyDescent="0.25">
      <c r="A318" s="247"/>
      <c r="B318" s="248"/>
      <c r="C318" s="248"/>
      <c r="D318" s="248"/>
      <c r="E318" s="248"/>
      <c r="F318" s="248"/>
      <c r="G318" s="248"/>
      <c r="H318" s="249"/>
    </row>
    <row r="319" spans="1:10" x14ac:dyDescent="0.3">
      <c r="A319" s="9" t="s">
        <v>36</v>
      </c>
      <c r="B319" s="290" t="s">
        <v>239</v>
      </c>
      <c r="C319" s="224"/>
      <c r="D319" s="224"/>
      <c r="E319" s="224"/>
      <c r="F319" s="224"/>
      <c r="G319" s="224"/>
      <c r="H319" s="224"/>
    </row>
    <row r="320" spans="1:10" ht="29.25" customHeight="1" x14ac:dyDescent="0.3">
      <c r="B320" s="291"/>
      <c r="C320" s="291"/>
      <c r="D320" s="291"/>
      <c r="E320" s="291"/>
      <c r="F320" s="291"/>
      <c r="G320" s="291"/>
      <c r="H320" s="291"/>
    </row>
    <row r="321" spans="1:8" x14ac:dyDescent="0.3">
      <c r="B321" s="356"/>
      <c r="C321" s="242"/>
      <c r="D321" s="242"/>
      <c r="E321" s="242"/>
      <c r="F321" s="242"/>
      <c r="G321" s="242"/>
      <c r="H321" s="243"/>
    </row>
    <row r="322" spans="1:8" x14ac:dyDescent="0.3">
      <c r="B322" s="244"/>
      <c r="C322" s="245"/>
      <c r="D322" s="245"/>
      <c r="E322" s="245"/>
      <c r="F322" s="245"/>
      <c r="G322" s="245"/>
      <c r="H322" s="246"/>
    </row>
    <row r="323" spans="1:8" x14ac:dyDescent="0.3">
      <c r="B323" s="244"/>
      <c r="C323" s="245"/>
      <c r="D323" s="245"/>
      <c r="E323" s="245"/>
      <c r="F323" s="245"/>
      <c r="G323" s="245"/>
      <c r="H323" s="246"/>
    </row>
    <row r="324" spans="1:8" x14ac:dyDescent="0.3">
      <c r="B324" s="247"/>
      <c r="C324" s="248"/>
      <c r="D324" s="248"/>
      <c r="E324" s="248"/>
      <c r="F324" s="248"/>
      <c r="G324" s="248"/>
      <c r="H324" s="249"/>
    </row>
    <row r="325" spans="1:8" x14ac:dyDescent="0.3">
      <c r="B325" s="10"/>
      <c r="C325" s="10"/>
      <c r="D325" s="10"/>
      <c r="E325" s="10"/>
      <c r="F325" s="10"/>
      <c r="G325" s="10"/>
      <c r="H325" s="10"/>
    </row>
    <row r="327" spans="1:8" ht="15" customHeight="1" x14ac:dyDescent="0.3">
      <c r="A327" s="9" t="s">
        <v>37</v>
      </c>
      <c r="B327" s="362" t="s">
        <v>241</v>
      </c>
      <c r="C327" s="239"/>
      <c r="D327" s="239"/>
      <c r="E327" s="239"/>
      <c r="F327" s="239"/>
      <c r="G327" s="239"/>
      <c r="H327" s="239"/>
    </row>
    <row r="328" spans="1:8" ht="39" customHeight="1" x14ac:dyDescent="0.3">
      <c r="B328" s="363"/>
      <c r="C328" s="363"/>
      <c r="D328" s="363"/>
      <c r="E328" s="363"/>
      <c r="F328" s="363"/>
      <c r="G328" s="363"/>
      <c r="H328" s="363"/>
    </row>
    <row r="329" spans="1:8" x14ac:dyDescent="0.3">
      <c r="B329" s="357" t="s">
        <v>303</v>
      </c>
      <c r="C329" s="257"/>
      <c r="D329" s="257"/>
      <c r="E329" s="257"/>
      <c r="F329" s="257"/>
      <c r="G329" s="257"/>
      <c r="H329" s="258"/>
    </row>
    <row r="330" spans="1:8" x14ac:dyDescent="0.3">
      <c r="B330" s="259"/>
      <c r="C330" s="260"/>
      <c r="D330" s="260"/>
      <c r="E330" s="260"/>
      <c r="F330" s="260"/>
      <c r="G330" s="260"/>
      <c r="H330" s="261"/>
    </row>
    <row r="331" spans="1:8" ht="12.25" customHeight="1" x14ac:dyDescent="0.3">
      <c r="B331" s="259"/>
      <c r="C331" s="260"/>
      <c r="D331" s="260"/>
      <c r="E331" s="260"/>
      <c r="F331" s="260"/>
      <c r="G331" s="260"/>
      <c r="H331" s="261"/>
    </row>
    <row r="332" spans="1:8" ht="12.25" customHeight="1" x14ac:dyDescent="0.3">
      <c r="B332" s="262"/>
      <c r="C332" s="263"/>
      <c r="D332" s="263"/>
      <c r="E332" s="263"/>
      <c r="F332" s="263"/>
      <c r="G332" s="263"/>
      <c r="H332" s="264"/>
    </row>
    <row r="333" spans="1:8" ht="12.25" customHeight="1" x14ac:dyDescent="0.3">
      <c r="B333" s="163"/>
      <c r="C333" s="163"/>
      <c r="D333" s="163"/>
      <c r="E333" s="163"/>
      <c r="F333" s="163"/>
      <c r="G333" s="163"/>
      <c r="H333" s="163"/>
    </row>
    <row r="335" spans="1:8" x14ac:dyDescent="0.3">
      <c r="A335" s="9" t="s">
        <v>58</v>
      </c>
      <c r="B335" s="265" t="s">
        <v>240</v>
      </c>
      <c r="C335" s="265"/>
      <c r="D335" s="265"/>
      <c r="E335" s="265"/>
      <c r="F335" s="265"/>
      <c r="G335" s="265"/>
      <c r="H335" s="265"/>
    </row>
    <row r="336" spans="1:8" ht="28.9" customHeight="1" x14ac:dyDescent="0.3">
      <c r="B336" s="266"/>
      <c r="C336" s="266"/>
      <c r="D336" s="266"/>
      <c r="E336" s="266"/>
      <c r="F336" s="266"/>
      <c r="G336" s="266"/>
      <c r="H336" s="266"/>
    </row>
    <row r="337" spans="1:8" ht="14.5" customHeight="1" x14ac:dyDescent="0.3">
      <c r="B337" s="357" t="s">
        <v>315</v>
      </c>
      <c r="C337" s="257"/>
      <c r="D337" s="257"/>
      <c r="E337" s="257"/>
      <c r="F337" s="257"/>
      <c r="G337" s="257"/>
      <c r="H337" s="258"/>
    </row>
    <row r="338" spans="1:8" x14ac:dyDescent="0.3">
      <c r="B338" s="259"/>
      <c r="C338" s="260"/>
      <c r="D338" s="260"/>
      <c r="E338" s="260"/>
      <c r="F338" s="260"/>
      <c r="G338" s="260"/>
      <c r="H338" s="261"/>
    </row>
    <row r="339" spans="1:8" x14ac:dyDescent="0.3">
      <c r="B339" s="259"/>
      <c r="C339" s="260"/>
      <c r="D339" s="260"/>
      <c r="E339" s="260"/>
      <c r="F339" s="260"/>
      <c r="G339" s="260"/>
      <c r="H339" s="261"/>
    </row>
    <row r="340" spans="1:8" x14ac:dyDescent="0.3">
      <c r="B340" s="259"/>
      <c r="C340" s="260"/>
      <c r="D340" s="260"/>
      <c r="E340" s="260"/>
      <c r="F340" s="260"/>
      <c r="G340" s="260"/>
      <c r="H340" s="261"/>
    </row>
    <row r="341" spans="1:8" ht="12" customHeight="1" x14ac:dyDescent="0.3">
      <c r="B341" s="262"/>
      <c r="C341" s="263"/>
      <c r="D341" s="263"/>
      <c r="E341" s="263"/>
      <c r="F341" s="263"/>
      <c r="G341" s="263"/>
      <c r="H341" s="264"/>
    </row>
    <row r="342" spans="1:8" ht="12.25" customHeight="1" x14ac:dyDescent="0.3">
      <c r="B342" s="170"/>
      <c r="C342" s="3"/>
      <c r="D342" s="3"/>
      <c r="E342" s="3"/>
      <c r="F342" s="3"/>
      <c r="G342" s="3"/>
      <c r="H342" s="3"/>
    </row>
    <row r="343" spans="1:8" ht="12.25" customHeight="1" x14ac:dyDescent="0.3">
      <c r="B343" s="9"/>
    </row>
    <row r="344" spans="1:8" ht="27" customHeight="1" x14ac:dyDescent="0.3">
      <c r="A344" s="126" t="s">
        <v>16</v>
      </c>
      <c r="B344" s="354" t="s">
        <v>242</v>
      </c>
      <c r="C344" s="354"/>
      <c r="D344" s="354"/>
      <c r="E344" s="354"/>
      <c r="F344" s="354"/>
      <c r="G344" s="354"/>
      <c r="H344" s="354"/>
    </row>
    <row r="345" spans="1:8" x14ac:dyDescent="0.3">
      <c r="B345" s="256" t="s">
        <v>302</v>
      </c>
      <c r="C345" s="257"/>
      <c r="D345" s="257"/>
      <c r="E345" s="257"/>
      <c r="F345" s="257"/>
      <c r="G345" s="257"/>
      <c r="H345" s="258"/>
    </row>
    <row r="346" spans="1:8" x14ac:dyDescent="0.3">
      <c r="B346" s="259"/>
      <c r="C346" s="260"/>
      <c r="D346" s="260"/>
      <c r="E346" s="260"/>
      <c r="F346" s="260"/>
      <c r="G346" s="260"/>
      <c r="H346" s="261"/>
    </row>
    <row r="347" spans="1:8" x14ac:dyDescent="0.3">
      <c r="B347" s="259"/>
      <c r="C347" s="260"/>
      <c r="D347" s="260"/>
      <c r="E347" s="260"/>
      <c r="F347" s="260"/>
      <c r="G347" s="260"/>
      <c r="H347" s="261"/>
    </row>
    <row r="348" spans="1:8" x14ac:dyDescent="0.3">
      <c r="B348" s="259"/>
      <c r="C348" s="260"/>
      <c r="D348" s="260"/>
      <c r="E348" s="260"/>
      <c r="F348" s="260"/>
      <c r="G348" s="260"/>
      <c r="H348" s="261"/>
    </row>
    <row r="349" spans="1:8" x14ac:dyDescent="0.3">
      <c r="B349" s="262"/>
      <c r="C349" s="263"/>
      <c r="D349" s="263"/>
      <c r="E349" s="263"/>
      <c r="F349" s="263"/>
      <c r="G349" s="263"/>
      <c r="H349" s="264"/>
    </row>
    <row r="350" spans="1:8" x14ac:dyDescent="0.3">
      <c r="B350" s="355"/>
      <c r="C350" s="355"/>
      <c r="D350" s="355"/>
      <c r="E350" s="355"/>
      <c r="F350" s="355"/>
      <c r="G350" s="355"/>
      <c r="H350" s="355"/>
    </row>
    <row r="351" spans="1:8" x14ac:dyDescent="0.3">
      <c r="A351" s="358" t="s">
        <v>118</v>
      </c>
      <c r="B351" s="358"/>
      <c r="C351" s="358"/>
      <c r="D351" s="358"/>
      <c r="E351" s="358"/>
      <c r="F351" s="358"/>
      <c r="G351" s="358"/>
      <c r="H351" s="358"/>
    </row>
    <row r="352" spans="1:8" ht="4.5" customHeight="1" x14ac:dyDescent="0.3"/>
    <row r="353" spans="1:9" x14ac:dyDescent="0.3">
      <c r="B353" s="253" t="s">
        <v>243</v>
      </c>
      <c r="C353" s="253"/>
      <c r="D353" s="253"/>
      <c r="E353" s="253"/>
      <c r="F353" s="253"/>
      <c r="G353" s="253"/>
      <c r="H353" s="253"/>
    </row>
    <row r="354" spans="1:9" x14ac:dyDescent="0.3">
      <c r="B354" s="253"/>
      <c r="C354" s="253"/>
      <c r="D354" s="253"/>
      <c r="E354" s="253"/>
      <c r="F354" s="253"/>
      <c r="G354" s="253"/>
      <c r="H354" s="253"/>
    </row>
    <row r="355" spans="1:9" x14ac:dyDescent="0.3">
      <c r="B355" s="253"/>
      <c r="C355" s="253"/>
      <c r="D355" s="253"/>
      <c r="E355" s="253"/>
      <c r="F355" s="253"/>
      <c r="G355" s="253"/>
      <c r="H355" s="253"/>
    </row>
    <row r="356" spans="1:9" x14ac:dyDescent="0.3">
      <c r="B356" s="253"/>
      <c r="C356" s="253"/>
      <c r="D356" s="253"/>
      <c r="E356" s="253"/>
      <c r="F356" s="253"/>
      <c r="G356" s="253"/>
      <c r="H356" s="253"/>
    </row>
    <row r="357" spans="1:9" ht="7.5" customHeight="1" x14ac:dyDescent="0.3">
      <c r="B357" s="10"/>
      <c r="C357" s="10"/>
      <c r="D357" s="10"/>
      <c r="E357" s="10"/>
      <c r="F357" s="10"/>
      <c r="G357" s="10"/>
      <c r="H357" s="10"/>
    </row>
    <row r="358" spans="1:9" ht="26.25" customHeight="1" x14ac:dyDescent="0.3">
      <c r="A358" s="126" t="s">
        <v>114</v>
      </c>
      <c r="B358" s="239" t="s">
        <v>244</v>
      </c>
      <c r="C358" s="239"/>
      <c r="D358" s="239"/>
      <c r="E358" s="239"/>
      <c r="F358" s="239"/>
      <c r="G358" s="239"/>
      <c r="H358" s="239"/>
    </row>
    <row r="359" spans="1:9" ht="6" customHeight="1" x14ac:dyDescent="0.3"/>
    <row r="360" spans="1:9" x14ac:dyDescent="0.3">
      <c r="B360" s="52" t="s">
        <v>257</v>
      </c>
      <c r="C360" t="s">
        <v>258</v>
      </c>
      <c r="H360" s="125" t="s">
        <v>17</v>
      </c>
    </row>
    <row r="361" spans="1:9" ht="18.75" customHeight="1" x14ac:dyDescent="0.3">
      <c r="C361" s="359" t="s">
        <v>207</v>
      </c>
      <c r="D361" s="360"/>
      <c r="E361" s="360"/>
      <c r="F361" s="360"/>
      <c r="G361" s="361"/>
      <c r="H361" s="150">
        <f>E173/E172</f>
        <v>11396.685094425929</v>
      </c>
    </row>
    <row r="362" spans="1:9" x14ac:dyDescent="0.3">
      <c r="B362" s="52" t="s">
        <v>259</v>
      </c>
      <c r="C362" s="13" t="s">
        <v>260</v>
      </c>
      <c r="G362" s="115"/>
      <c r="H362" s="125"/>
    </row>
    <row r="363" spans="1:9" x14ac:dyDescent="0.3">
      <c r="C363" s="131" t="s">
        <v>208</v>
      </c>
      <c r="H363" s="150">
        <f>156131686/14459</f>
        <v>10798.235424303202</v>
      </c>
      <c r="I363" s="209"/>
    </row>
    <row r="364" spans="1:9" ht="4.5" customHeight="1" x14ac:dyDescent="0.3">
      <c r="H364" s="2"/>
    </row>
    <row r="365" spans="1:9" x14ac:dyDescent="0.3">
      <c r="B365" s="171" t="s">
        <v>245</v>
      </c>
      <c r="C365" s="13" t="s">
        <v>161</v>
      </c>
      <c r="H365" s="2"/>
    </row>
    <row r="366" spans="1:9" x14ac:dyDescent="0.3">
      <c r="C366" s="52" t="s">
        <v>250</v>
      </c>
      <c r="H366" s="113">
        <f>+H361-H363</f>
        <v>598.44967012272718</v>
      </c>
    </row>
    <row r="367" spans="1:9" ht="5.25" customHeight="1" x14ac:dyDescent="0.3"/>
    <row r="368" spans="1:9" x14ac:dyDescent="0.3">
      <c r="B368" s="52" t="s">
        <v>246</v>
      </c>
      <c r="C368" s="13" t="s">
        <v>195</v>
      </c>
    </row>
    <row r="369" spans="1:8" x14ac:dyDescent="0.3">
      <c r="C369" s="52" t="s">
        <v>251</v>
      </c>
      <c r="H369" s="86">
        <f>+H366/H363</f>
        <v>5.5421061553799604E-2</v>
      </c>
    </row>
    <row r="370" spans="1:8" ht="5.25" customHeight="1" x14ac:dyDescent="0.3">
      <c r="H370" s="1"/>
    </row>
    <row r="371" spans="1:8" ht="12" customHeight="1" x14ac:dyDescent="0.3">
      <c r="B371" s="52" t="s">
        <v>247</v>
      </c>
      <c r="C371" t="s">
        <v>160</v>
      </c>
      <c r="H371" s="127">
        <f>SUM(G372-G373)/G373</f>
        <v>-2.5907065563335455E-2</v>
      </c>
    </row>
    <row r="372" spans="1:8" ht="26.25" customHeight="1" x14ac:dyDescent="0.3">
      <c r="C372" s="226" t="s">
        <v>252</v>
      </c>
      <c r="D372" s="348"/>
      <c r="E372" s="348"/>
      <c r="F372" s="349"/>
      <c r="G372" s="151">
        <v>15303</v>
      </c>
      <c r="H372" s="1"/>
    </row>
    <row r="373" spans="1:8" ht="19.5" customHeight="1" x14ac:dyDescent="0.3">
      <c r="C373" s="226" t="s">
        <v>253</v>
      </c>
      <c r="D373" s="348"/>
      <c r="E373" s="348"/>
      <c r="F373" s="348"/>
      <c r="G373" s="151">
        <v>15710</v>
      </c>
      <c r="H373" s="1"/>
    </row>
    <row r="374" spans="1:8" ht="5.25" customHeight="1" x14ac:dyDescent="0.3">
      <c r="C374" s="348"/>
      <c r="D374" s="348"/>
      <c r="E374" s="348"/>
      <c r="F374" s="348"/>
      <c r="H374" s="1"/>
    </row>
    <row r="375" spans="1:8" x14ac:dyDescent="0.3">
      <c r="B375" s="144" t="s">
        <v>248</v>
      </c>
      <c r="C375" s="132" t="s">
        <v>196</v>
      </c>
      <c r="D375" s="39"/>
      <c r="E375" s="39"/>
      <c r="F375" s="39"/>
      <c r="G375" s="39"/>
      <c r="H375" s="86">
        <f>SUM(H369+H371)</f>
        <v>2.9513995990464149E-2</v>
      </c>
    </row>
    <row r="376" spans="1:8" ht="4.5" customHeight="1" x14ac:dyDescent="0.3">
      <c r="C376" s="39"/>
      <c r="D376" s="39"/>
      <c r="E376" s="39"/>
      <c r="F376" s="39"/>
      <c r="G376" s="39"/>
      <c r="H376" s="114"/>
    </row>
    <row r="377" spans="1:8" x14ac:dyDescent="0.3">
      <c r="B377" s="52" t="s">
        <v>249</v>
      </c>
      <c r="C377" s="39" t="s">
        <v>162</v>
      </c>
      <c r="D377" s="39"/>
      <c r="E377" s="39"/>
      <c r="F377" s="39"/>
      <c r="G377" s="39"/>
      <c r="H377" s="86" t="e">
        <f>+H116</f>
        <v>#DIV/0!</v>
      </c>
    </row>
    <row r="378" spans="1:8" ht="17.25" customHeight="1" x14ac:dyDescent="0.3">
      <c r="A378" s="45" t="s">
        <v>254</v>
      </c>
      <c r="C378" s="39"/>
      <c r="D378" s="39"/>
      <c r="E378" s="39"/>
      <c r="F378" s="39"/>
      <c r="G378" s="39"/>
      <c r="H378" s="57"/>
    </row>
    <row r="379" spans="1:8" ht="18" customHeight="1" x14ac:dyDescent="0.25">
      <c r="A379" s="343"/>
      <c r="B379" s="344"/>
      <c r="C379" s="344"/>
      <c r="D379" s="344"/>
      <c r="E379" s="344"/>
      <c r="F379" s="344"/>
      <c r="G379" s="344"/>
      <c r="H379" s="345"/>
    </row>
    <row r="380" spans="1:8" ht="18" customHeight="1" x14ac:dyDescent="0.25">
      <c r="A380" s="346"/>
      <c r="B380" s="291"/>
      <c r="C380" s="291"/>
      <c r="D380" s="291"/>
      <c r="E380" s="291"/>
      <c r="F380" s="291"/>
      <c r="G380" s="291"/>
      <c r="H380" s="347"/>
    </row>
    <row r="381" spans="1:8" ht="6" customHeight="1" x14ac:dyDescent="0.3"/>
    <row r="382" spans="1:8" x14ac:dyDescent="0.3">
      <c r="A382" s="211" t="s">
        <v>59</v>
      </c>
      <c r="B382" s="212"/>
      <c r="C382" s="212"/>
      <c r="D382" s="212"/>
      <c r="E382" s="212"/>
      <c r="F382" s="212"/>
      <c r="G382" s="212"/>
      <c r="H382" s="213"/>
    </row>
    <row r="383" spans="1:8" ht="5.25" customHeight="1" x14ac:dyDescent="0.3">
      <c r="A383" s="19"/>
      <c r="B383" s="3"/>
      <c r="C383" s="3"/>
      <c r="D383" s="3"/>
      <c r="E383" s="3"/>
      <c r="F383" s="3"/>
      <c r="G383" s="3"/>
      <c r="H383" s="4"/>
    </row>
    <row r="384" spans="1:8" ht="15.75" customHeight="1" x14ac:dyDescent="0.25">
      <c r="A384" s="350" t="s">
        <v>263</v>
      </c>
      <c r="B384" s="351"/>
      <c r="C384" s="351"/>
      <c r="D384" s="351"/>
      <c r="E384" s="351"/>
      <c r="F384" s="351"/>
      <c r="G384" s="351"/>
      <c r="H384" s="352"/>
    </row>
    <row r="385" spans="1:8" ht="12.5" x14ac:dyDescent="0.25">
      <c r="A385" s="353"/>
      <c r="B385" s="351"/>
      <c r="C385" s="351"/>
      <c r="D385" s="351"/>
      <c r="E385" s="351"/>
      <c r="F385" s="351"/>
      <c r="G385" s="351"/>
      <c r="H385" s="352"/>
    </row>
    <row r="386" spans="1:8" ht="9" customHeight="1" x14ac:dyDescent="0.3">
      <c r="A386" s="130"/>
      <c r="B386" s="137"/>
      <c r="C386" s="137"/>
      <c r="D386" s="137"/>
      <c r="E386" s="137"/>
      <c r="F386" s="137"/>
      <c r="G386" s="137"/>
      <c r="H386" s="138"/>
    </row>
    <row r="387" spans="1:8" ht="43.15" customHeight="1" x14ac:dyDescent="0.25">
      <c r="A387" s="313" t="s">
        <v>280</v>
      </c>
      <c r="B387" s="314"/>
      <c r="C387" s="314"/>
      <c r="D387" s="314"/>
      <c r="E387" s="314"/>
      <c r="F387" s="314"/>
      <c r="G387" s="314"/>
      <c r="H387" s="315"/>
    </row>
    <row r="388" spans="1:8" ht="7.15" customHeight="1" x14ac:dyDescent="0.3">
      <c r="A388" s="172"/>
      <c r="B388" s="173"/>
      <c r="C388" s="173"/>
      <c r="D388" s="173"/>
      <c r="E388" s="173"/>
      <c r="F388" s="173"/>
      <c r="G388" s="173"/>
      <c r="H388" s="174"/>
    </row>
    <row r="389" spans="1:8" ht="12.5" x14ac:dyDescent="0.25">
      <c r="A389" s="310" t="s">
        <v>282</v>
      </c>
      <c r="B389" s="265"/>
      <c r="C389" s="265"/>
      <c r="D389" s="265"/>
      <c r="E389" s="265"/>
      <c r="F389" s="265"/>
      <c r="G389" s="265"/>
      <c r="H389" s="311"/>
    </row>
    <row r="390" spans="1:8" ht="12.5" x14ac:dyDescent="0.25">
      <c r="A390" s="312"/>
      <c r="B390" s="265"/>
      <c r="C390" s="265"/>
      <c r="D390" s="265"/>
      <c r="E390" s="265"/>
      <c r="F390" s="265"/>
      <c r="G390" s="265"/>
      <c r="H390" s="311"/>
    </row>
    <row r="391" spans="1:8" ht="12.5" x14ac:dyDescent="0.25">
      <c r="A391" s="312"/>
      <c r="B391" s="265"/>
      <c r="C391" s="265"/>
      <c r="D391" s="265"/>
      <c r="E391" s="265"/>
      <c r="F391" s="265"/>
      <c r="G391" s="265"/>
      <c r="H391" s="311"/>
    </row>
    <row r="392" spans="1:8" ht="11.25" customHeight="1" x14ac:dyDescent="0.25">
      <c r="A392" s="312"/>
      <c r="B392" s="265"/>
      <c r="C392" s="265"/>
      <c r="D392" s="265"/>
      <c r="E392" s="265"/>
      <c r="F392" s="265"/>
      <c r="G392" s="265"/>
      <c r="H392" s="311"/>
    </row>
    <row r="393" spans="1:8" ht="7.5" customHeight="1" thickBot="1" x14ac:dyDescent="0.3">
      <c r="A393" s="179"/>
      <c r="B393" s="177"/>
      <c r="C393" s="177"/>
      <c r="D393" s="177"/>
      <c r="E393" s="177"/>
      <c r="F393" s="177"/>
      <c r="G393" s="177"/>
      <c r="H393" s="178"/>
    </row>
    <row r="394" spans="1:8" ht="16.5" customHeight="1" x14ac:dyDescent="0.25">
      <c r="A394" s="370" t="s">
        <v>255</v>
      </c>
      <c r="B394" s="371"/>
      <c r="C394" s="371"/>
      <c r="D394" s="371"/>
      <c r="E394" s="371"/>
      <c r="F394" s="371"/>
      <c r="G394" s="371"/>
      <c r="H394" s="372"/>
    </row>
    <row r="395" spans="1:8" ht="12.75" customHeight="1" x14ac:dyDescent="0.25">
      <c r="A395" s="373"/>
      <c r="B395" s="239"/>
      <c r="C395" s="239"/>
      <c r="D395" s="239"/>
      <c r="E395" s="239"/>
      <c r="F395" s="239"/>
      <c r="G395" s="239"/>
      <c r="H395" s="374"/>
    </row>
    <row r="396" spans="1:8" ht="9" customHeight="1" x14ac:dyDescent="0.3">
      <c r="A396" s="175"/>
      <c r="H396" s="68"/>
    </row>
    <row r="397" spans="1:8" ht="7.5" customHeight="1" x14ac:dyDescent="0.3">
      <c r="A397" s="176"/>
      <c r="B397" s="8"/>
      <c r="C397" s="8"/>
      <c r="D397" s="8"/>
      <c r="E397" s="8"/>
      <c r="G397" s="308"/>
      <c r="H397" s="309"/>
    </row>
    <row r="398" spans="1:8" x14ac:dyDescent="0.3">
      <c r="A398" s="380" t="s">
        <v>197</v>
      </c>
      <c r="B398" s="375"/>
      <c r="C398" s="375"/>
      <c r="D398" s="375"/>
      <c r="E398" s="375"/>
      <c r="G398" s="375" t="s">
        <v>61</v>
      </c>
      <c r="H398" s="376"/>
    </row>
    <row r="399" spans="1:8" ht="15.75" customHeight="1" x14ac:dyDescent="0.3">
      <c r="A399" s="176"/>
      <c r="B399" s="8"/>
      <c r="C399" s="8"/>
      <c r="D399" s="8"/>
      <c r="E399" s="8"/>
      <c r="G399" s="308"/>
      <c r="H399" s="309"/>
    </row>
    <row r="400" spans="1:8" s="181" customFormat="1" ht="15" customHeight="1" thickBot="1" x14ac:dyDescent="0.3">
      <c r="A400" s="379" t="s">
        <v>261</v>
      </c>
      <c r="B400" s="377"/>
      <c r="C400" s="377"/>
      <c r="D400" s="377"/>
      <c r="E400" s="377"/>
      <c r="F400" s="180"/>
      <c r="G400" s="377" t="s">
        <v>61</v>
      </c>
      <c r="H400" s="378"/>
    </row>
    <row r="401" spans="1:8" s="34" customFormat="1" ht="8.25" customHeight="1" x14ac:dyDescent="0.25">
      <c r="A401" s="60"/>
      <c r="B401" s="51"/>
      <c r="C401" s="51"/>
      <c r="D401" s="51"/>
      <c r="E401" s="61"/>
      <c r="H401" s="62"/>
    </row>
    <row r="402" spans="1:8" s="34" customFormat="1" x14ac:dyDescent="0.3">
      <c r="A402" s="381" t="s">
        <v>206</v>
      </c>
      <c r="B402" s="382"/>
      <c r="C402" s="382"/>
      <c r="D402" s="382"/>
      <c r="E402" s="382"/>
      <c r="F402" s="382"/>
      <c r="G402" s="382"/>
      <c r="H402" s="383"/>
    </row>
    <row r="403" spans="1:8" x14ac:dyDescent="0.3">
      <c r="A403" s="364">
        <f>H12</f>
        <v>45203</v>
      </c>
      <c r="B403" s="365"/>
      <c r="C403" s="365"/>
      <c r="D403" s="365"/>
      <c r="E403" s="365"/>
      <c r="F403" s="12" t="s">
        <v>256</v>
      </c>
      <c r="H403" s="6"/>
    </row>
    <row r="404" spans="1:8" ht="15" customHeight="1" x14ac:dyDescent="0.3">
      <c r="A404" s="364" t="str">
        <f>$C$10</f>
        <v>Any School Teacher's Association</v>
      </c>
      <c r="B404" s="365"/>
      <c r="C404" s="365"/>
      <c r="D404" s="365"/>
      <c r="E404" s="365"/>
      <c r="F404" s="12" t="s">
        <v>164</v>
      </c>
      <c r="G404" s="12"/>
      <c r="H404" s="182"/>
    </row>
    <row r="405" spans="1:8" ht="12.65" customHeight="1" x14ac:dyDescent="0.3">
      <c r="A405" s="92"/>
      <c r="G405" s="12"/>
      <c r="H405" s="182"/>
    </row>
    <row r="406" spans="1:8" ht="14.25" customHeight="1" x14ac:dyDescent="0.3">
      <c r="A406" s="366"/>
      <c r="B406" s="367"/>
      <c r="C406" s="367"/>
      <c r="D406" s="367"/>
      <c r="E406" s="367"/>
      <c r="G406" s="368"/>
      <c r="H406" s="369"/>
    </row>
    <row r="407" spans="1:8" x14ac:dyDescent="0.3">
      <c r="A407" s="133" t="s">
        <v>262</v>
      </c>
      <c r="B407" s="134"/>
      <c r="C407" s="134"/>
      <c r="D407" s="134"/>
      <c r="E407" s="135"/>
      <c r="F407" s="8"/>
      <c r="G407" s="134" t="s">
        <v>61</v>
      </c>
      <c r="H407" s="136"/>
    </row>
  </sheetData>
  <sheetProtection formatCells="0" formatColumns="0" formatRows="0" insertColumns="0" insertRows="0" insertHyperlinks="0" deleteColumns="0" deleteRows="0" sort="0" autoFilter="0" pivotTables="0"/>
  <mergeCells count="87">
    <mergeCell ref="A404:E404"/>
    <mergeCell ref="A406:E406"/>
    <mergeCell ref="G406:H406"/>
    <mergeCell ref="A394:H395"/>
    <mergeCell ref="G398:H398"/>
    <mergeCell ref="G400:H400"/>
    <mergeCell ref="A400:E400"/>
    <mergeCell ref="A398:E398"/>
    <mergeCell ref="A402:H402"/>
    <mergeCell ref="A403:E403"/>
    <mergeCell ref="G397:H397"/>
    <mergeCell ref="A379:H380"/>
    <mergeCell ref="B358:H358"/>
    <mergeCell ref="C372:F372"/>
    <mergeCell ref="A384:H385"/>
    <mergeCell ref="A243:D243"/>
    <mergeCell ref="A294:D294"/>
    <mergeCell ref="B344:H344"/>
    <mergeCell ref="B350:H350"/>
    <mergeCell ref="C373:F374"/>
    <mergeCell ref="B321:H324"/>
    <mergeCell ref="B329:H332"/>
    <mergeCell ref="B337:H341"/>
    <mergeCell ref="A262:H267"/>
    <mergeCell ref="A351:H351"/>
    <mergeCell ref="C361:G361"/>
    <mergeCell ref="B327:H328"/>
    <mergeCell ref="A382:H382"/>
    <mergeCell ref="G399:H399"/>
    <mergeCell ref="A389:H392"/>
    <mergeCell ref="A387:H387"/>
    <mergeCell ref="A1:H4"/>
    <mergeCell ref="G151:H151"/>
    <mergeCell ref="C118:G118"/>
    <mergeCell ref="B132:H132"/>
    <mergeCell ref="B140:H140"/>
    <mergeCell ref="B107:H107"/>
    <mergeCell ref="B133:H138"/>
    <mergeCell ref="B121:H122"/>
    <mergeCell ref="B45:G45"/>
    <mergeCell ref="C8:F8"/>
    <mergeCell ref="C10:F10"/>
    <mergeCell ref="D22:F22"/>
    <mergeCell ref="E33:H35"/>
    <mergeCell ref="B33:D33"/>
    <mergeCell ref="B98:H98"/>
    <mergeCell ref="B86:H87"/>
    <mergeCell ref="B319:H320"/>
    <mergeCell ref="H156:H158"/>
    <mergeCell ref="A254:D254"/>
    <mergeCell ref="A212:H212"/>
    <mergeCell ref="B88:H90"/>
    <mergeCell ref="B124:H124"/>
    <mergeCell ref="A119:H119"/>
    <mergeCell ref="A155:H155"/>
    <mergeCell ref="G152:H152"/>
    <mergeCell ref="B353:H356"/>
    <mergeCell ref="F170:F171"/>
    <mergeCell ref="H170:H171"/>
    <mergeCell ref="F219:F220"/>
    <mergeCell ref="G219:G220"/>
    <mergeCell ref="G170:G171"/>
    <mergeCell ref="B345:H349"/>
    <mergeCell ref="B335:H336"/>
    <mergeCell ref="F270:F271"/>
    <mergeCell ref="H219:H220"/>
    <mergeCell ref="A305:D305"/>
    <mergeCell ref="H270:H271"/>
    <mergeCell ref="A213:H216"/>
    <mergeCell ref="E268:G268"/>
    <mergeCell ref="A312:H318"/>
    <mergeCell ref="A15:H15"/>
    <mergeCell ref="A36:H36"/>
    <mergeCell ref="D24:F24"/>
    <mergeCell ref="G270:G271"/>
    <mergeCell ref="C93:F93"/>
    <mergeCell ref="B157:G157"/>
    <mergeCell ref="B153:F153"/>
    <mergeCell ref="C56:F56"/>
    <mergeCell ref="A169:D171"/>
    <mergeCell ref="E217:G217"/>
    <mergeCell ref="A205:D205"/>
    <mergeCell ref="F168:H168"/>
    <mergeCell ref="B125:H130"/>
    <mergeCell ref="B141:H148"/>
    <mergeCell ref="B160:F160"/>
    <mergeCell ref="G153:H153"/>
  </mergeCells>
  <phoneticPr fontId="0" type="noConversion"/>
  <printOptions horizontalCentered="1"/>
  <pageMargins left="0.17" right="0.16" top="0.22" bottom="0.42" header="0.32" footer="0.13"/>
  <pageSetup scale="98" orientation="portrait" r:id="rId1"/>
  <headerFooter alignWithMargins="0">
    <oddFooter>&amp;C&amp;"Arial,Italic"&amp;8&amp;P of &amp;N&amp;R&amp;"Arial,Italic"&amp;8&amp;F</oddFooter>
  </headerFooter>
  <rowBreaks count="7" manualBreakCount="7">
    <brk id="66" max="16383" man="1"/>
    <brk id="118" max="16383" man="1"/>
    <brk id="163" max="16383" man="1"/>
    <brk id="216" max="7" man="1"/>
    <brk id="267" max="16383" man="1"/>
    <brk id="318" max="16383" man="1"/>
    <brk id="3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J163"/>
  <sheetViews>
    <sheetView showGridLines="0" showZeros="0" topLeftCell="A23" zoomScaleNormal="100" workbookViewId="0">
      <selection activeCell="G26" sqref="G26:H26"/>
    </sheetView>
  </sheetViews>
  <sheetFormatPr defaultRowHeight="12.5" x14ac:dyDescent="0.25"/>
  <cols>
    <col min="1" max="1" width="10.26953125" customWidth="1"/>
    <col min="3" max="3" width="5.26953125" customWidth="1"/>
    <col min="4" max="4" width="9.453125" customWidth="1"/>
    <col min="5" max="5" width="17.54296875" customWidth="1"/>
    <col min="6" max="6" width="16.54296875" customWidth="1"/>
    <col min="7" max="7" width="16.26953125" customWidth="1"/>
    <col min="8" max="8" width="20.54296875" customWidth="1"/>
    <col min="10" max="10" width="13.453125" bestFit="1" customWidth="1"/>
  </cols>
  <sheetData>
    <row r="1" spans="1:8" ht="13" x14ac:dyDescent="0.3">
      <c r="A1" s="417" t="s">
        <v>21</v>
      </c>
      <c r="B1" s="418"/>
      <c r="C1" s="418"/>
      <c r="D1" s="418"/>
      <c r="E1" s="418"/>
      <c r="F1" s="418"/>
      <c r="G1" s="418"/>
      <c r="H1" s="419"/>
    </row>
    <row r="2" spans="1:8" ht="13" x14ac:dyDescent="0.3">
      <c r="A2" s="420" t="s">
        <v>1</v>
      </c>
      <c r="B2" s="421"/>
      <c r="C2" s="421"/>
      <c r="D2" s="421"/>
      <c r="E2" s="421"/>
      <c r="F2" s="421"/>
      <c r="G2" s="421"/>
      <c r="H2" s="422"/>
    </row>
    <row r="3" spans="1:8" ht="13" x14ac:dyDescent="0.3">
      <c r="A3" s="420" t="s">
        <v>2</v>
      </c>
      <c r="B3" s="421"/>
      <c r="C3" s="421"/>
      <c r="D3" s="421"/>
      <c r="E3" s="421"/>
      <c r="F3" s="421"/>
      <c r="G3" s="421"/>
      <c r="H3" s="422"/>
    </row>
    <row r="4" spans="1:8" ht="13.5" thickBot="1" x14ac:dyDescent="0.35">
      <c r="A4" s="423" t="s">
        <v>202</v>
      </c>
      <c r="B4" s="424"/>
      <c r="C4" s="424"/>
      <c r="D4" s="424"/>
      <c r="E4" s="424"/>
      <c r="F4" s="424"/>
      <c r="G4" s="424"/>
      <c r="H4" s="425"/>
    </row>
    <row r="5" spans="1:8" ht="13" x14ac:dyDescent="0.3">
      <c r="A5" s="91"/>
      <c r="B5" s="91"/>
      <c r="C5" s="91"/>
      <c r="D5" s="91"/>
      <c r="E5" s="91"/>
      <c r="F5" s="91"/>
      <c r="G5" s="91"/>
      <c r="H5" s="91"/>
    </row>
    <row r="6" spans="1:8" ht="13" x14ac:dyDescent="0.3">
      <c r="B6" s="11"/>
      <c r="C6" s="426" t="str">
        <f>+Summary!C8</f>
        <v>Any Unified</v>
      </c>
      <c r="D6" s="427"/>
      <c r="E6" s="427"/>
      <c r="F6" s="410"/>
      <c r="G6" s="21" t="s">
        <v>18</v>
      </c>
      <c r="H6" s="11"/>
    </row>
    <row r="8" spans="1:8" ht="13.15" customHeight="1" x14ac:dyDescent="0.25">
      <c r="A8" s="411" t="s">
        <v>283</v>
      </c>
      <c r="B8" s="412"/>
      <c r="C8" s="412"/>
      <c r="D8" s="412"/>
      <c r="E8" s="412"/>
      <c r="F8" s="412"/>
      <c r="G8" s="412"/>
      <c r="H8" s="412"/>
    </row>
    <row r="9" spans="1:8" x14ac:dyDescent="0.25">
      <c r="A9" s="412"/>
      <c r="B9" s="412"/>
      <c r="C9" s="412"/>
      <c r="D9" s="412"/>
      <c r="E9" s="412"/>
      <c r="F9" s="412"/>
      <c r="G9" s="412"/>
      <c r="H9" s="412"/>
    </row>
    <row r="10" spans="1:8" x14ac:dyDescent="0.25">
      <c r="A10" s="412"/>
      <c r="B10" s="412"/>
      <c r="C10" s="412"/>
      <c r="D10" s="412"/>
      <c r="E10" s="412"/>
      <c r="F10" s="412"/>
      <c r="G10" s="412"/>
      <c r="H10" s="412"/>
    </row>
    <row r="11" spans="1:8" x14ac:dyDescent="0.25">
      <c r="A11" s="412"/>
      <c r="B11" s="412"/>
      <c r="C11" s="412"/>
      <c r="D11" s="412"/>
      <c r="E11" s="412"/>
      <c r="F11" s="412"/>
      <c r="G11" s="412"/>
      <c r="H11" s="412"/>
    </row>
    <row r="12" spans="1:8" ht="6.65" customHeight="1" x14ac:dyDescent="0.25"/>
    <row r="13" spans="1:8" ht="13.15" customHeight="1" x14ac:dyDescent="0.25">
      <c r="A13" s="412" t="s">
        <v>40</v>
      </c>
      <c r="B13" s="412"/>
      <c r="C13" s="412"/>
      <c r="D13" s="412"/>
      <c r="E13" s="412"/>
      <c r="F13" s="412"/>
      <c r="G13" s="412"/>
      <c r="H13" s="412"/>
    </row>
    <row r="14" spans="1:8" x14ac:dyDescent="0.25">
      <c r="A14" s="412"/>
      <c r="B14" s="412"/>
      <c r="C14" s="412"/>
      <c r="D14" s="412"/>
      <c r="E14" s="412"/>
      <c r="F14" s="412"/>
      <c r="G14" s="412"/>
      <c r="H14" s="412"/>
    </row>
    <row r="15" spans="1:8" ht="6.65" customHeight="1" x14ac:dyDescent="0.25">
      <c r="A15" s="10"/>
      <c r="B15" s="10"/>
      <c r="C15" s="10"/>
      <c r="D15" s="10"/>
      <c r="E15" s="10"/>
      <c r="F15" s="10"/>
      <c r="G15" s="10"/>
      <c r="H15" s="10"/>
    </row>
    <row r="16" spans="1:8" ht="13" x14ac:dyDescent="0.3">
      <c r="A16" s="12" t="s">
        <v>123</v>
      </c>
    </row>
    <row r="17" spans="1:8" ht="17.5" customHeight="1" x14ac:dyDescent="0.3">
      <c r="A17" s="421" t="s">
        <v>293</v>
      </c>
      <c r="B17" s="421"/>
      <c r="C17" s="421"/>
      <c r="D17" s="421"/>
      <c r="E17" s="421"/>
      <c r="F17" s="421"/>
      <c r="G17" s="421"/>
      <c r="H17" s="421"/>
    </row>
    <row r="18" spans="1:8" ht="5.5" customHeight="1" x14ac:dyDescent="0.3">
      <c r="A18" s="421"/>
      <c r="B18" s="421"/>
      <c r="C18" s="421"/>
      <c r="D18" s="421"/>
      <c r="E18" s="421"/>
      <c r="F18" s="421"/>
      <c r="G18" s="421"/>
      <c r="H18" s="421"/>
    </row>
    <row r="19" spans="1:8" ht="13" x14ac:dyDescent="0.3">
      <c r="B19" s="11"/>
      <c r="C19" s="426" t="str">
        <f>+Summary!C10</f>
        <v>Any School Teacher's Association</v>
      </c>
      <c r="D19" s="427"/>
      <c r="E19" s="427"/>
      <c r="F19" s="410"/>
      <c r="G19" s="21" t="s">
        <v>19</v>
      </c>
      <c r="H19" s="11"/>
    </row>
    <row r="21" spans="1:8" ht="13" x14ac:dyDescent="0.3">
      <c r="A21" t="s">
        <v>20</v>
      </c>
      <c r="G21" s="428">
        <f>+Summary!H12</f>
        <v>45203</v>
      </c>
      <c r="H21" s="429"/>
    </row>
    <row r="23" spans="1:8" ht="13" x14ac:dyDescent="0.3">
      <c r="A23" t="s">
        <v>22</v>
      </c>
      <c r="B23" s="9" t="s">
        <v>41</v>
      </c>
    </row>
    <row r="24" spans="1:8" ht="13" x14ac:dyDescent="0.3">
      <c r="B24" t="s">
        <v>23</v>
      </c>
      <c r="G24" s="430">
        <f>+Summary!H27</f>
        <v>45108</v>
      </c>
      <c r="H24" s="431"/>
    </row>
    <row r="25" spans="1:8" ht="13" x14ac:dyDescent="0.3">
      <c r="B25" t="s">
        <v>24</v>
      </c>
      <c r="G25" s="430">
        <f>+Summary!H28</f>
        <v>45473</v>
      </c>
      <c r="H25" s="431"/>
    </row>
    <row r="26" spans="1:8" ht="13" x14ac:dyDescent="0.3">
      <c r="B26" t="s">
        <v>25</v>
      </c>
      <c r="E26" s="12" t="str">
        <f>+Summary!F31</f>
        <v>2023-24</v>
      </c>
      <c r="F26" s="12"/>
      <c r="G26" s="434" t="str">
        <f>Summary!F31&amp;", "&amp;Summary!G31&amp;", "&amp;Summary!H31</f>
        <v xml:space="preserve">2023-24, , </v>
      </c>
      <c r="H26" s="434"/>
    </row>
    <row r="28" spans="1:8" ht="13" x14ac:dyDescent="0.3">
      <c r="A28" t="s">
        <v>29</v>
      </c>
      <c r="B28" s="9" t="s">
        <v>165</v>
      </c>
    </row>
    <row r="29" spans="1:8" x14ac:dyDescent="0.25">
      <c r="B29" t="s">
        <v>166</v>
      </c>
    </row>
    <row r="30" spans="1:8" ht="13" x14ac:dyDescent="0.3">
      <c r="B30" s="13" t="s">
        <v>64</v>
      </c>
      <c r="C30" s="52" t="s">
        <v>284</v>
      </c>
      <c r="G30" s="391">
        <f>+Summary!H104</f>
        <v>0</v>
      </c>
      <c r="H30" s="413"/>
    </row>
    <row r="31" spans="1:8" ht="13" x14ac:dyDescent="0.3">
      <c r="G31" s="117"/>
      <c r="H31" s="118"/>
    </row>
    <row r="32" spans="1:8" ht="13" x14ac:dyDescent="0.3">
      <c r="B32" s="13" t="s">
        <v>65</v>
      </c>
      <c r="C32" s="52" t="s">
        <v>285</v>
      </c>
      <c r="G32" s="391">
        <f>+Summary!H111</f>
        <v>0</v>
      </c>
      <c r="H32" s="413"/>
    </row>
    <row r="33" spans="1:8" ht="13" x14ac:dyDescent="0.3">
      <c r="G33" s="117"/>
      <c r="H33" s="118"/>
    </row>
    <row r="34" spans="1:8" ht="13" x14ac:dyDescent="0.3">
      <c r="B34" s="13" t="s">
        <v>66</v>
      </c>
      <c r="C34" t="s">
        <v>167</v>
      </c>
      <c r="G34" s="391">
        <f>+Summary!H114</f>
        <v>0</v>
      </c>
      <c r="H34" s="413"/>
    </row>
    <row r="35" spans="1:8" ht="13" x14ac:dyDescent="0.3">
      <c r="G35" s="15"/>
    </row>
    <row r="36" spans="1:8" ht="13" x14ac:dyDescent="0.3">
      <c r="B36" s="13" t="s">
        <v>67</v>
      </c>
      <c r="C36" t="s">
        <v>168</v>
      </c>
      <c r="G36" s="432" t="e">
        <f>+Summary!H116</f>
        <v>#DIV/0!</v>
      </c>
      <c r="H36" s="433"/>
    </row>
    <row r="37" spans="1:8" ht="13" x14ac:dyDescent="0.3">
      <c r="G37" s="16"/>
    </row>
    <row r="38" spans="1:8" ht="13" x14ac:dyDescent="0.3">
      <c r="B38" s="13" t="s">
        <v>68</v>
      </c>
      <c r="C38" s="52" t="s">
        <v>286</v>
      </c>
      <c r="G38" s="391" t="e">
        <f>+Summary!H118</f>
        <v>#DIV/0!</v>
      </c>
      <c r="H38" s="413"/>
    </row>
    <row r="40" spans="1:8" ht="13" x14ac:dyDescent="0.3">
      <c r="A40" t="s">
        <v>30</v>
      </c>
      <c r="B40" s="9" t="s">
        <v>288</v>
      </c>
    </row>
    <row r="41" spans="1:8" ht="13.15" customHeight="1" x14ac:dyDescent="0.25">
      <c r="B41" s="411" t="s">
        <v>287</v>
      </c>
      <c r="C41" s="412"/>
      <c r="D41" s="412"/>
      <c r="E41" s="412"/>
      <c r="F41" s="412"/>
      <c r="G41" s="412"/>
      <c r="H41" s="412"/>
    </row>
    <row r="42" spans="1:8" x14ac:dyDescent="0.25">
      <c r="B42" s="412"/>
      <c r="C42" s="412"/>
      <c r="D42" s="412"/>
      <c r="E42" s="412"/>
      <c r="F42" s="412"/>
      <c r="G42" s="412"/>
      <c r="H42" s="412"/>
    </row>
    <row r="43" spans="1:8" x14ac:dyDescent="0.25">
      <c r="B43" s="10"/>
      <c r="C43" s="10"/>
      <c r="D43" s="10"/>
      <c r="E43" s="10"/>
      <c r="F43" s="10"/>
      <c r="G43" s="10"/>
      <c r="H43" s="10"/>
    </row>
    <row r="44" spans="1:8" x14ac:dyDescent="0.25">
      <c r="B44" s="13" t="s">
        <v>64</v>
      </c>
      <c r="C44" t="s">
        <v>169</v>
      </c>
    </row>
    <row r="45" spans="1:8" ht="13" x14ac:dyDescent="0.3">
      <c r="C45" t="s">
        <v>170</v>
      </c>
      <c r="G45" s="409">
        <f>+Summary!G54</f>
        <v>0</v>
      </c>
      <c r="H45" s="410"/>
    </row>
    <row r="46" spans="1:8" ht="13" x14ac:dyDescent="0.3">
      <c r="C46" s="144" t="s">
        <v>203</v>
      </c>
      <c r="G46" s="409">
        <f>Summary!G56</f>
        <v>0</v>
      </c>
      <c r="H46" s="410"/>
    </row>
    <row r="47" spans="1:8" ht="13" x14ac:dyDescent="0.3">
      <c r="G47" s="17"/>
    </row>
    <row r="48" spans="1:8" ht="13" x14ac:dyDescent="0.3">
      <c r="B48" s="13" t="s">
        <v>65</v>
      </c>
      <c r="C48" t="s">
        <v>69</v>
      </c>
      <c r="G48" s="17"/>
    </row>
    <row r="49" spans="1:8" ht="13" x14ac:dyDescent="0.3">
      <c r="C49" s="52" t="s">
        <v>289</v>
      </c>
      <c r="G49" s="409">
        <f>+Summary!G59</f>
        <v>0</v>
      </c>
      <c r="H49" s="410"/>
    </row>
    <row r="50" spans="1:8" ht="13" x14ac:dyDescent="0.3">
      <c r="G50" s="17"/>
    </row>
    <row r="51" spans="1:8" ht="13" x14ac:dyDescent="0.3">
      <c r="B51" s="13" t="s">
        <v>66</v>
      </c>
      <c r="C51" s="47" t="s">
        <v>171</v>
      </c>
      <c r="G51" s="17"/>
    </row>
    <row r="52" spans="1:8" ht="13" x14ac:dyDescent="0.3">
      <c r="C52" s="52" t="s">
        <v>291</v>
      </c>
      <c r="G52" s="414">
        <f>Summary!G62</f>
        <v>0</v>
      </c>
      <c r="H52" s="415"/>
    </row>
    <row r="53" spans="1:8" ht="13" x14ac:dyDescent="0.3">
      <c r="C53" s="59"/>
    </row>
    <row r="54" spans="1:8" ht="13" x14ac:dyDescent="0.3">
      <c r="B54" s="119" t="s">
        <v>67</v>
      </c>
      <c r="C54" s="52" t="s">
        <v>292</v>
      </c>
      <c r="G54" s="435">
        <f>Summary!H64</f>
        <v>0</v>
      </c>
      <c r="H54" s="436"/>
    </row>
    <row r="55" spans="1:8" ht="13" x14ac:dyDescent="0.3">
      <c r="B55" s="119"/>
      <c r="C55" s="52"/>
      <c r="G55" s="128"/>
      <c r="H55" s="129"/>
    </row>
    <row r="56" spans="1:8" ht="13" x14ac:dyDescent="0.3">
      <c r="B56" s="187" t="s">
        <v>68</v>
      </c>
      <c r="C56" s="52" t="s">
        <v>294</v>
      </c>
      <c r="G56" s="407">
        <f>Summary!H65</f>
        <v>189</v>
      </c>
      <c r="H56" s="408"/>
    </row>
    <row r="57" spans="1:8" ht="13" x14ac:dyDescent="0.3">
      <c r="B57" s="49"/>
      <c r="G57" s="128"/>
      <c r="H57" s="129"/>
    </row>
    <row r="58" spans="1:8" ht="24" customHeight="1" x14ac:dyDescent="0.3">
      <c r="B58" s="188" t="s">
        <v>73</v>
      </c>
      <c r="C58" s="411" t="s">
        <v>204</v>
      </c>
      <c r="D58" s="412"/>
      <c r="E58" s="412"/>
      <c r="F58" s="416"/>
      <c r="G58" s="407">
        <f>Summary!H66</f>
        <v>180</v>
      </c>
      <c r="H58" s="408"/>
    </row>
    <row r="59" spans="1:8" ht="13.15" customHeight="1" x14ac:dyDescent="0.25">
      <c r="A59" t="s">
        <v>31</v>
      </c>
      <c r="B59" s="288" t="s">
        <v>295</v>
      </c>
      <c r="C59" s="288"/>
      <c r="D59" s="288"/>
      <c r="E59" s="288"/>
      <c r="F59" s="288"/>
      <c r="G59" s="288"/>
      <c r="H59" s="288"/>
    </row>
    <row r="60" spans="1:8" x14ac:dyDescent="0.25">
      <c r="B60" s="288"/>
      <c r="C60" s="288"/>
      <c r="D60" s="288"/>
      <c r="E60" s="288"/>
      <c r="F60" s="288"/>
      <c r="G60" s="288"/>
      <c r="H60" s="288"/>
    </row>
    <row r="61" spans="1:8" ht="13" x14ac:dyDescent="0.25">
      <c r="B61" s="149"/>
      <c r="C61" s="149"/>
      <c r="D61" s="149"/>
      <c r="E61" s="149"/>
      <c r="F61" s="149"/>
      <c r="G61" s="149"/>
      <c r="H61" s="149"/>
    </row>
    <row r="62" spans="1:8" ht="13" x14ac:dyDescent="0.3">
      <c r="B62" s="13" t="s">
        <v>64</v>
      </c>
      <c r="C62" t="s">
        <v>70</v>
      </c>
      <c r="G62" s="391">
        <f>Summary!G103</f>
        <v>0</v>
      </c>
      <c r="H62" s="413"/>
    </row>
    <row r="63" spans="1:8" ht="13" x14ac:dyDescent="0.3">
      <c r="G63" s="121"/>
      <c r="H63" s="122"/>
    </row>
    <row r="64" spans="1:8" ht="13" x14ac:dyDescent="0.3">
      <c r="B64" s="13" t="s">
        <v>65</v>
      </c>
      <c r="C64" t="s">
        <v>71</v>
      </c>
      <c r="G64" s="391">
        <f>Summary!G110</f>
        <v>0</v>
      </c>
      <c r="H64" s="413"/>
    </row>
    <row r="65" spans="1:8" ht="13" x14ac:dyDescent="0.3">
      <c r="G65" s="12"/>
    </row>
    <row r="66" spans="1:8" ht="13" x14ac:dyDescent="0.3">
      <c r="B66" s="13" t="s">
        <v>66</v>
      </c>
      <c r="C66" s="47" t="s">
        <v>172</v>
      </c>
      <c r="G66" s="389" t="e">
        <f>(G64-G62)/G62</f>
        <v>#DIV/0!</v>
      </c>
      <c r="H66" s="390"/>
    </row>
    <row r="68" spans="1:8" ht="13" x14ac:dyDescent="0.3">
      <c r="A68" t="s">
        <v>32</v>
      </c>
      <c r="B68" s="9" t="s">
        <v>33</v>
      </c>
    </row>
    <row r="70" spans="1:8" x14ac:dyDescent="0.25">
      <c r="B70" t="s">
        <v>42</v>
      </c>
    </row>
    <row r="72" spans="1:8" x14ac:dyDescent="0.25">
      <c r="B72" s="13" t="s">
        <v>64</v>
      </c>
      <c r="C72" t="s">
        <v>173</v>
      </c>
    </row>
    <row r="73" spans="1:8" ht="13" x14ac:dyDescent="0.3">
      <c r="C73" t="s">
        <v>34</v>
      </c>
      <c r="G73" s="391">
        <f>SUM(Summary!G151)</f>
        <v>243306038</v>
      </c>
      <c r="H73" s="392"/>
    </row>
    <row r="75" spans="1:8" x14ac:dyDescent="0.25">
      <c r="B75" s="13" t="s">
        <v>65</v>
      </c>
      <c r="C75" t="s">
        <v>72</v>
      </c>
    </row>
    <row r="76" spans="1:8" ht="13" x14ac:dyDescent="0.3">
      <c r="C76" t="s">
        <v>174</v>
      </c>
      <c r="G76" s="409">
        <f>SUM(Summary!G152)</f>
        <v>0.03</v>
      </c>
      <c r="H76" s="410"/>
    </row>
    <row r="78" spans="1:8" ht="13" x14ac:dyDescent="0.3">
      <c r="B78" s="13" t="s">
        <v>66</v>
      </c>
      <c r="C78" t="s">
        <v>175</v>
      </c>
      <c r="G78" s="391">
        <f>SUM(Summary!G153)</f>
        <v>7299181.1399999997</v>
      </c>
      <c r="H78" s="392"/>
    </row>
    <row r="80" spans="1:8" ht="13.15" customHeight="1" x14ac:dyDescent="0.25">
      <c r="B80" s="239" t="s">
        <v>176</v>
      </c>
      <c r="C80" s="239"/>
      <c r="D80" s="239"/>
      <c r="E80" s="239"/>
      <c r="F80" s="239"/>
      <c r="G80" s="239"/>
      <c r="H80" s="239"/>
    </row>
    <row r="81" spans="2:10" x14ac:dyDescent="0.25">
      <c r="B81" s="239"/>
      <c r="C81" s="239"/>
      <c r="D81" s="239"/>
      <c r="E81" s="239"/>
      <c r="F81" s="239"/>
      <c r="G81" s="239"/>
      <c r="H81" s="239"/>
    </row>
    <row r="82" spans="2:10" x14ac:dyDescent="0.25">
      <c r="B82" s="10"/>
      <c r="C82" s="10"/>
      <c r="D82" s="10"/>
      <c r="E82" s="10"/>
      <c r="F82" s="10"/>
      <c r="G82" s="10"/>
      <c r="H82" s="10"/>
    </row>
    <row r="83" spans="2:10" ht="13" x14ac:dyDescent="0.3">
      <c r="B83" s="45" t="s">
        <v>99</v>
      </c>
    </row>
    <row r="84" spans="2:10" ht="13" x14ac:dyDescent="0.3">
      <c r="B84" s="9"/>
    </row>
    <row r="85" spans="2:10" x14ac:dyDescent="0.25">
      <c r="B85" s="13" t="s">
        <v>67</v>
      </c>
      <c r="C85" t="s">
        <v>177</v>
      </c>
    </row>
    <row r="86" spans="2:10" ht="13" x14ac:dyDescent="0.3">
      <c r="C86" t="s">
        <v>178</v>
      </c>
      <c r="G86" s="393">
        <f>+Summary!H205</f>
        <v>7299181.1399999997</v>
      </c>
      <c r="H86" s="394"/>
      <c r="J86" s="118"/>
    </row>
    <row r="87" spans="2:10" x14ac:dyDescent="0.25">
      <c r="G87" s="118"/>
      <c r="H87" s="118"/>
    </row>
    <row r="88" spans="2:10" x14ac:dyDescent="0.25">
      <c r="B88" s="47" t="s">
        <v>68</v>
      </c>
      <c r="C88" t="s">
        <v>180</v>
      </c>
      <c r="G88" s="118"/>
      <c r="H88" s="118"/>
    </row>
    <row r="89" spans="2:10" ht="13" x14ac:dyDescent="0.3">
      <c r="C89" t="s">
        <v>179</v>
      </c>
      <c r="G89" s="393">
        <f>+Summary!H206</f>
        <v>3767748.8599999994</v>
      </c>
      <c r="H89" s="394"/>
    </row>
    <row r="90" spans="2:10" x14ac:dyDescent="0.25">
      <c r="G90" s="118"/>
      <c r="H90" s="118"/>
    </row>
    <row r="91" spans="2:10" ht="13" x14ac:dyDescent="0.3">
      <c r="B91" s="47" t="s">
        <v>73</v>
      </c>
      <c r="C91" s="9" t="s">
        <v>185</v>
      </c>
      <c r="G91" s="393">
        <f>+G86+G89</f>
        <v>11066930</v>
      </c>
      <c r="H91" s="394"/>
    </row>
    <row r="92" spans="2:10" ht="13" x14ac:dyDescent="0.3">
      <c r="B92" s="47"/>
      <c r="C92" s="9"/>
      <c r="G92" s="123"/>
      <c r="H92" s="124"/>
    </row>
    <row r="93" spans="2:10" ht="13" x14ac:dyDescent="0.3">
      <c r="B93" s="9"/>
      <c r="G93" s="123"/>
      <c r="H93" s="124"/>
    </row>
    <row r="94" spans="2:10" ht="13" x14ac:dyDescent="0.3">
      <c r="B94" s="45" t="s">
        <v>184</v>
      </c>
      <c r="G94" s="123"/>
      <c r="H94" s="124"/>
    </row>
    <row r="95" spans="2:10" ht="13" x14ac:dyDescent="0.3">
      <c r="B95" s="9"/>
      <c r="G95" s="123"/>
      <c r="H95" s="124"/>
    </row>
    <row r="96" spans="2:10" ht="13" x14ac:dyDescent="0.3">
      <c r="B96" s="47" t="s">
        <v>74</v>
      </c>
      <c r="C96" t="s">
        <v>181</v>
      </c>
      <c r="G96" s="123"/>
      <c r="H96" s="124"/>
    </row>
    <row r="97" spans="1:8" ht="13" x14ac:dyDescent="0.3">
      <c r="C97" t="s">
        <v>182</v>
      </c>
      <c r="G97" s="393">
        <f>SUM(Summary!H210)</f>
        <v>0</v>
      </c>
      <c r="H97" s="394"/>
    </row>
    <row r="98" spans="1:8" ht="13" x14ac:dyDescent="0.3">
      <c r="G98" s="12"/>
    </row>
    <row r="99" spans="1:8" ht="13" x14ac:dyDescent="0.3">
      <c r="B99" s="9" t="s">
        <v>183</v>
      </c>
      <c r="G99" s="12"/>
    </row>
    <row r="100" spans="1:8" ht="13" x14ac:dyDescent="0.3">
      <c r="G100" s="12"/>
    </row>
    <row r="101" spans="1:8" ht="13" x14ac:dyDescent="0.3">
      <c r="B101" s="47" t="s">
        <v>75</v>
      </c>
      <c r="C101" t="s">
        <v>77</v>
      </c>
      <c r="G101" s="393">
        <f>+G91+G97</f>
        <v>11066930</v>
      </c>
      <c r="H101" s="394"/>
    </row>
    <row r="103" spans="1:8" ht="13" x14ac:dyDescent="0.3">
      <c r="B103" s="49" t="s">
        <v>76</v>
      </c>
      <c r="C103" t="s">
        <v>98</v>
      </c>
      <c r="G103" s="404">
        <f>SUM(G101/G73)</f>
        <v>4.5485636488807567E-2</v>
      </c>
      <c r="H103" s="405"/>
    </row>
    <row r="104" spans="1:8" x14ac:dyDescent="0.25">
      <c r="B104" s="39"/>
      <c r="G104" s="48"/>
    </row>
    <row r="105" spans="1:8" ht="13" x14ac:dyDescent="0.3">
      <c r="B105" s="47" t="s">
        <v>100</v>
      </c>
      <c r="G105" s="393">
        <f>SUM(G101-G78)</f>
        <v>3767748.8600000003</v>
      </c>
      <c r="H105" s="406"/>
    </row>
    <row r="106" spans="1:8" ht="7.5" customHeight="1" x14ac:dyDescent="0.25">
      <c r="B106" s="39"/>
    </row>
    <row r="107" spans="1:8" ht="13" x14ac:dyDescent="0.3">
      <c r="A107" s="47" t="s">
        <v>39</v>
      </c>
      <c r="B107" s="9" t="s">
        <v>124</v>
      </c>
    </row>
    <row r="108" spans="1:8" x14ac:dyDescent="0.25">
      <c r="B108" s="395">
        <f>Summary!B321</f>
        <v>0</v>
      </c>
      <c r="C108" s="396"/>
      <c r="D108" s="396"/>
      <c r="E108" s="396"/>
      <c r="F108" s="396"/>
      <c r="G108" s="396"/>
      <c r="H108" s="397"/>
    </row>
    <row r="109" spans="1:8" x14ac:dyDescent="0.25">
      <c r="B109" s="398"/>
      <c r="C109" s="399"/>
      <c r="D109" s="399"/>
      <c r="E109" s="399"/>
      <c r="F109" s="399"/>
      <c r="G109" s="399"/>
      <c r="H109" s="400"/>
    </row>
    <row r="110" spans="1:8" x14ac:dyDescent="0.25">
      <c r="B110" s="398"/>
      <c r="C110" s="399"/>
      <c r="D110" s="399"/>
      <c r="E110" s="399"/>
      <c r="F110" s="399"/>
      <c r="G110" s="399"/>
      <c r="H110" s="400"/>
    </row>
    <row r="111" spans="1:8" x14ac:dyDescent="0.25">
      <c r="B111" s="401"/>
      <c r="C111" s="402"/>
      <c r="D111" s="402"/>
      <c r="E111" s="402"/>
      <c r="F111" s="402"/>
      <c r="G111" s="402"/>
      <c r="H111" s="403"/>
    </row>
    <row r="112" spans="1:8" x14ac:dyDescent="0.25">
      <c r="B112" s="39"/>
      <c r="C112" s="39"/>
      <c r="D112" s="39"/>
      <c r="E112" s="39"/>
      <c r="F112" s="39"/>
      <c r="G112" s="39"/>
      <c r="H112" s="39"/>
    </row>
    <row r="113" spans="1:8" ht="13" x14ac:dyDescent="0.3">
      <c r="A113" t="s">
        <v>38</v>
      </c>
      <c r="B113" s="9" t="s">
        <v>193</v>
      </c>
    </row>
    <row r="114" spans="1:8" ht="13.15" customHeight="1" x14ac:dyDescent="0.25">
      <c r="B114" s="239" t="s">
        <v>186</v>
      </c>
      <c r="C114" s="239"/>
      <c r="D114" s="239"/>
      <c r="E114" s="239"/>
      <c r="F114" s="239"/>
      <c r="G114" s="239"/>
      <c r="H114" s="239"/>
    </row>
    <row r="115" spans="1:8" x14ac:dyDescent="0.25">
      <c r="B115" s="239"/>
      <c r="C115" s="239"/>
      <c r="D115" s="239"/>
      <c r="E115" s="239"/>
      <c r="F115" s="239"/>
      <c r="G115" s="239"/>
      <c r="H115" s="239"/>
    </row>
    <row r="116" spans="1:8" x14ac:dyDescent="0.25">
      <c r="B116" s="239"/>
      <c r="C116" s="239"/>
      <c r="D116" s="239"/>
      <c r="E116" s="239"/>
      <c r="F116" s="239"/>
      <c r="G116" s="239"/>
      <c r="H116" s="239"/>
    </row>
    <row r="117" spans="1:8" x14ac:dyDescent="0.25">
      <c r="B117" s="395" t="str">
        <f>Summary!B329</f>
        <v>Step and column costs applied to salary and benefit cost increases.</v>
      </c>
      <c r="C117" s="396"/>
      <c r="D117" s="396"/>
      <c r="E117" s="396"/>
      <c r="F117" s="396"/>
      <c r="G117" s="396"/>
      <c r="H117" s="397"/>
    </row>
    <row r="118" spans="1:8" x14ac:dyDescent="0.25">
      <c r="B118" s="398"/>
      <c r="C118" s="399"/>
      <c r="D118" s="399"/>
      <c r="E118" s="399"/>
      <c r="F118" s="399"/>
      <c r="G118" s="399"/>
      <c r="H118" s="400"/>
    </row>
    <row r="119" spans="1:8" x14ac:dyDescent="0.25">
      <c r="B119" s="398"/>
      <c r="C119" s="399"/>
      <c r="D119" s="399"/>
      <c r="E119" s="399"/>
      <c r="F119" s="399"/>
      <c r="G119" s="399"/>
      <c r="H119" s="400"/>
    </row>
    <row r="120" spans="1:8" x14ac:dyDescent="0.25">
      <c r="B120" s="401"/>
      <c r="C120" s="402"/>
      <c r="D120" s="402"/>
      <c r="E120" s="402"/>
      <c r="F120" s="402"/>
      <c r="G120" s="402"/>
      <c r="H120" s="403"/>
    </row>
    <row r="121" spans="1:8" ht="7.5" customHeight="1" x14ac:dyDescent="0.25">
      <c r="B121" s="39"/>
    </row>
    <row r="122" spans="1:8" ht="7.5" customHeight="1" x14ac:dyDescent="0.25">
      <c r="B122" s="39"/>
    </row>
    <row r="123" spans="1:8" ht="13" x14ac:dyDescent="0.3">
      <c r="A123" t="s">
        <v>104</v>
      </c>
      <c r="B123" s="9" t="s">
        <v>105</v>
      </c>
    </row>
    <row r="124" spans="1:8" x14ac:dyDescent="0.25">
      <c r="B124" s="395" t="str">
        <f>(Summary!B337)</f>
        <v>Effective July 1, 2023, a 11.0% increase will be applied to all ASTA salary schedules.  In addition, the district will provide a one-time off schedule payment of $1,500 for all ASTA employees in active status as of 08/01/2023 and pro-rated per full-time equivalent (FTE).  Additionally the health and welfare contribution cap will increase by $2,000 to $20,500.</v>
      </c>
      <c r="C124" s="396"/>
      <c r="D124" s="396"/>
      <c r="E124" s="396"/>
      <c r="F124" s="396"/>
      <c r="G124" s="396"/>
      <c r="H124" s="397"/>
    </row>
    <row r="125" spans="1:8" x14ac:dyDescent="0.25">
      <c r="B125" s="398"/>
      <c r="C125" s="399"/>
      <c r="D125" s="399"/>
      <c r="E125" s="399"/>
      <c r="F125" s="399"/>
      <c r="G125" s="399"/>
      <c r="H125" s="400"/>
    </row>
    <row r="126" spans="1:8" x14ac:dyDescent="0.25">
      <c r="B126" s="398"/>
      <c r="C126" s="399"/>
      <c r="D126" s="399"/>
      <c r="E126" s="399"/>
      <c r="F126" s="399"/>
      <c r="G126" s="399"/>
      <c r="H126" s="400"/>
    </row>
    <row r="127" spans="1:8" x14ac:dyDescent="0.25">
      <c r="B127" s="401"/>
      <c r="C127" s="402"/>
      <c r="D127" s="402"/>
      <c r="E127" s="402"/>
      <c r="F127" s="402"/>
      <c r="G127" s="402"/>
      <c r="H127" s="403"/>
    </row>
    <row r="128" spans="1:8" x14ac:dyDescent="0.25">
      <c r="B128" s="10"/>
      <c r="C128" s="10"/>
      <c r="D128" s="10"/>
      <c r="E128" s="10"/>
      <c r="F128" s="10"/>
      <c r="G128" s="10"/>
      <c r="H128" s="10"/>
    </row>
    <row r="129" spans="1:8" ht="7.5" customHeight="1" x14ac:dyDescent="0.25">
      <c r="B129" s="39"/>
    </row>
    <row r="130" spans="1:8" ht="13" x14ac:dyDescent="0.3">
      <c r="A130" t="s">
        <v>115</v>
      </c>
      <c r="B130" s="9" t="s">
        <v>35</v>
      </c>
    </row>
    <row r="131" spans="1:8" ht="4.5" customHeight="1" x14ac:dyDescent="0.3">
      <c r="B131" s="9"/>
    </row>
    <row r="132" spans="1:8" ht="13" x14ac:dyDescent="0.3">
      <c r="B132" s="9" t="s">
        <v>57</v>
      </c>
    </row>
    <row r="133" spans="1:8" x14ac:dyDescent="0.25">
      <c r="B133" s="395" t="str">
        <f>Summary!B345</f>
        <v>District ongoing LCFF funding will be used to fund this agreement in the current and future years.</v>
      </c>
      <c r="C133" s="396"/>
      <c r="D133" s="396"/>
      <c r="E133" s="396"/>
      <c r="F133" s="396"/>
      <c r="G133" s="396"/>
      <c r="H133" s="397"/>
    </row>
    <row r="134" spans="1:8" x14ac:dyDescent="0.25">
      <c r="B134" s="398"/>
      <c r="C134" s="399"/>
      <c r="D134" s="399"/>
      <c r="E134" s="399"/>
      <c r="F134" s="399"/>
      <c r="G134" s="399"/>
      <c r="H134" s="400"/>
    </row>
    <row r="135" spans="1:8" x14ac:dyDescent="0.25">
      <c r="B135" s="398"/>
      <c r="C135" s="399"/>
      <c r="D135" s="399"/>
      <c r="E135" s="399"/>
      <c r="F135" s="399"/>
      <c r="G135" s="399"/>
      <c r="H135" s="400"/>
    </row>
    <row r="136" spans="1:8" x14ac:dyDescent="0.25">
      <c r="B136" s="401"/>
      <c r="C136" s="402"/>
      <c r="D136" s="402"/>
      <c r="E136" s="402"/>
      <c r="F136" s="402"/>
      <c r="G136" s="402"/>
      <c r="H136" s="403"/>
    </row>
    <row r="137" spans="1:8" x14ac:dyDescent="0.25">
      <c r="B137" s="10"/>
      <c r="C137" s="10"/>
      <c r="D137" s="10"/>
      <c r="E137" s="10"/>
      <c r="F137" s="10"/>
      <c r="G137" s="10"/>
      <c r="H137" s="10"/>
    </row>
    <row r="138" spans="1:8" ht="4.5" customHeight="1" x14ac:dyDescent="0.25"/>
    <row r="139" spans="1:8" ht="7.5" customHeight="1" x14ac:dyDescent="0.25"/>
    <row r="140" spans="1:8" ht="13" x14ac:dyDescent="0.3">
      <c r="A140" s="211" t="s">
        <v>59</v>
      </c>
      <c r="B140" s="212"/>
      <c r="C140" s="212"/>
      <c r="D140" s="212"/>
      <c r="E140" s="212"/>
      <c r="F140" s="212"/>
      <c r="G140" s="212"/>
      <c r="H140" s="213"/>
    </row>
    <row r="141" spans="1:8" ht="5.25" customHeight="1" x14ac:dyDescent="0.25">
      <c r="A141" s="5"/>
      <c r="H141" s="6"/>
    </row>
    <row r="142" spans="1:8" ht="24" customHeight="1" x14ac:dyDescent="0.3">
      <c r="A142" s="386" t="s">
        <v>106</v>
      </c>
      <c r="B142" s="387"/>
      <c r="C142" s="387"/>
      <c r="D142" s="387"/>
      <c r="E142" s="387"/>
      <c r="F142" s="387"/>
      <c r="G142" s="387"/>
      <c r="H142" s="388"/>
    </row>
    <row r="143" spans="1:8" ht="13.15" customHeight="1" x14ac:dyDescent="0.3">
      <c r="A143" s="130"/>
      <c r="B143" s="137"/>
      <c r="C143" s="137"/>
      <c r="D143" s="137"/>
      <c r="E143" s="137"/>
      <c r="F143" s="137"/>
      <c r="G143" s="137"/>
      <c r="H143" s="138"/>
    </row>
    <row r="144" spans="1:8" ht="39" customHeight="1" x14ac:dyDescent="0.3">
      <c r="A144" s="386" t="str">
        <f>Summary!A387</f>
        <v>Districts with a Qualified or Negative Certification: Per Govenment Code 3540.2, signatures of the District Superintendent and Chief Business Official must accompany the Summary Disclosure sent to the County Superintendent for review 10 days prior to the board meeting that will ratify the agreement.</v>
      </c>
      <c r="B144" s="387"/>
      <c r="C144" s="387"/>
      <c r="D144" s="387"/>
      <c r="E144" s="387"/>
      <c r="F144" s="387"/>
      <c r="G144" s="387"/>
      <c r="H144" s="388"/>
    </row>
    <row r="145" spans="1:8" s="52" customFormat="1" ht="13.15" customHeight="1" x14ac:dyDescent="0.25">
      <c r="A145" s="445" t="s">
        <v>281</v>
      </c>
      <c r="B145" s="446"/>
      <c r="C145" s="446"/>
      <c r="D145" s="446"/>
      <c r="E145" s="446"/>
      <c r="F145" s="446"/>
      <c r="G145" s="446"/>
      <c r="H145" s="447"/>
    </row>
    <row r="146" spans="1:8" s="52" customFormat="1" x14ac:dyDescent="0.25">
      <c r="A146" s="445"/>
      <c r="B146" s="446"/>
      <c r="C146" s="446"/>
      <c r="D146" s="446"/>
      <c r="E146" s="446"/>
      <c r="F146" s="446"/>
      <c r="G146" s="446"/>
      <c r="H146" s="447"/>
    </row>
    <row r="147" spans="1:8" s="52" customFormat="1" x14ac:dyDescent="0.25">
      <c r="A147" s="448"/>
      <c r="B147" s="449"/>
      <c r="C147" s="449"/>
      <c r="D147" s="449"/>
      <c r="E147" s="449"/>
      <c r="F147" s="449"/>
      <c r="G147" s="449"/>
      <c r="H147" s="450"/>
    </row>
    <row r="148" spans="1:8" ht="30" customHeight="1" x14ac:dyDescent="0.25">
      <c r="A148" s="451" t="s">
        <v>205</v>
      </c>
      <c r="B148" s="452"/>
      <c r="C148" s="452"/>
      <c r="D148" s="452"/>
      <c r="E148" s="452"/>
      <c r="F148" s="452"/>
      <c r="G148" s="452"/>
      <c r="H148" s="453"/>
    </row>
    <row r="149" spans="1:8" ht="6.75" customHeight="1" x14ac:dyDescent="0.25">
      <c r="A149" s="5"/>
      <c r="H149" s="6"/>
    </row>
    <row r="150" spans="1:8" ht="19.5" customHeight="1" x14ac:dyDescent="0.25">
      <c r="A150" s="7"/>
      <c r="B150" s="8"/>
      <c r="C150" s="8"/>
      <c r="D150" s="8"/>
      <c r="E150" s="8"/>
      <c r="G150" s="442">
        <f>Summary!G397</f>
        <v>0</v>
      </c>
      <c r="H150" s="443"/>
    </row>
    <row r="151" spans="1:8" ht="13" x14ac:dyDescent="0.3">
      <c r="A151" s="444" t="s">
        <v>197</v>
      </c>
      <c r="B151" s="375"/>
      <c r="C151" s="375"/>
      <c r="D151" s="375"/>
      <c r="E151" s="375"/>
      <c r="G151" s="439" t="s">
        <v>61</v>
      </c>
      <c r="H151" s="440"/>
    </row>
    <row r="152" spans="1:8" ht="24.75" customHeight="1" x14ac:dyDescent="0.25">
      <c r="A152" s="7"/>
      <c r="B152" s="8"/>
      <c r="C152" s="8"/>
      <c r="D152" s="8"/>
      <c r="E152" s="8"/>
      <c r="G152" s="442">
        <f>Summary!G399</f>
        <v>0</v>
      </c>
      <c r="H152" s="443"/>
    </row>
    <row r="153" spans="1:8" ht="13" x14ac:dyDescent="0.3">
      <c r="A153" s="444" t="s">
        <v>198</v>
      </c>
      <c r="B153" s="375"/>
      <c r="C153" s="375"/>
      <c r="D153" s="375"/>
      <c r="E153" s="375"/>
      <c r="G153" s="375" t="s">
        <v>61</v>
      </c>
      <c r="H153" s="441"/>
    </row>
    <row r="154" spans="1:8" s="54" customFormat="1" ht="10" x14ac:dyDescent="0.2">
      <c r="A154" s="145"/>
      <c r="B154" s="146"/>
      <c r="C154" s="146"/>
      <c r="D154" s="146"/>
      <c r="E154" s="147"/>
      <c r="F154" s="55"/>
      <c r="G154" s="55"/>
      <c r="H154" s="56"/>
    </row>
    <row r="155" spans="1:8" ht="8.25" customHeight="1" x14ac:dyDescent="0.3">
      <c r="A155" s="148"/>
      <c r="B155" s="139"/>
      <c r="C155" s="139"/>
      <c r="D155" s="139"/>
      <c r="E155" s="139"/>
      <c r="F155" s="139"/>
      <c r="G155" s="139"/>
      <c r="H155" s="140"/>
    </row>
    <row r="156" spans="1:8" ht="13" x14ac:dyDescent="0.3">
      <c r="A156" s="29" t="s">
        <v>187</v>
      </c>
      <c r="B156" s="10"/>
      <c r="C156" s="10"/>
      <c r="D156" s="10"/>
      <c r="E156" s="10"/>
      <c r="F156" s="10"/>
      <c r="G156" s="10"/>
      <c r="H156" s="18"/>
    </row>
    <row r="157" spans="1:8" ht="13" x14ac:dyDescent="0.3">
      <c r="A157" s="29" t="s">
        <v>188</v>
      </c>
      <c r="B157" s="12"/>
      <c r="C157" s="384">
        <f>Summary!A403</f>
        <v>45203</v>
      </c>
      <c r="D157" s="384"/>
      <c r="E157" s="384"/>
      <c r="F157" s="12" t="s">
        <v>189</v>
      </c>
      <c r="H157" s="6"/>
    </row>
    <row r="158" spans="1:8" ht="6.75" customHeight="1" x14ac:dyDescent="0.25">
      <c r="A158" s="5"/>
      <c r="H158" s="6"/>
    </row>
    <row r="159" spans="1:8" ht="13" x14ac:dyDescent="0.3">
      <c r="A159" s="29" t="s">
        <v>0</v>
      </c>
      <c r="B159" s="385" t="str">
        <f>Summary!C10</f>
        <v>Any School Teacher's Association</v>
      </c>
      <c r="C159" s="385"/>
      <c r="D159" s="385"/>
      <c r="E159" s="385"/>
      <c r="F159" s="385"/>
      <c r="G159" s="12" t="s">
        <v>164</v>
      </c>
      <c r="H159" s="6"/>
    </row>
    <row r="160" spans="1:8" ht="8.25" customHeight="1" x14ac:dyDescent="0.25">
      <c r="A160" s="5"/>
      <c r="H160" s="6"/>
    </row>
    <row r="161" spans="1:8" ht="20.25" customHeight="1" x14ac:dyDescent="0.25">
      <c r="A161" s="7"/>
      <c r="B161" s="8"/>
      <c r="C161" s="8"/>
      <c r="D161" s="8"/>
      <c r="E161" s="8"/>
      <c r="G161" s="442">
        <f>Summary!G406</f>
        <v>0</v>
      </c>
      <c r="H161" s="443"/>
    </row>
    <row r="162" spans="1:8" ht="13" x14ac:dyDescent="0.3">
      <c r="A162" s="444" t="s">
        <v>62</v>
      </c>
      <c r="B162" s="375"/>
      <c r="C162" s="375"/>
      <c r="D162" s="375"/>
      <c r="E162" s="375"/>
      <c r="G162" s="375" t="s">
        <v>61</v>
      </c>
      <c r="H162" s="441"/>
    </row>
    <row r="163" spans="1:8" s="54" customFormat="1" ht="10" x14ac:dyDescent="0.2">
      <c r="A163" s="437" t="s">
        <v>60</v>
      </c>
      <c r="B163" s="438"/>
      <c r="C163" s="438"/>
      <c r="D163" s="438"/>
      <c r="E163" s="438"/>
      <c r="F163" s="55"/>
      <c r="G163" s="55"/>
      <c r="H163" s="56"/>
    </row>
  </sheetData>
  <sheetProtection formatCells="0" formatColumns="0" formatRows="0" insertColumns="0" insertRows="0" insertHyperlinks="0" deleteColumns="0" deleteRows="0" sort="0" autoFilter="0" pivotTables="0"/>
  <mergeCells count="65">
    <mergeCell ref="A163:E163"/>
    <mergeCell ref="G151:H151"/>
    <mergeCell ref="G153:H153"/>
    <mergeCell ref="G162:H162"/>
    <mergeCell ref="B59:H60"/>
    <mergeCell ref="B80:H81"/>
    <mergeCell ref="G150:H150"/>
    <mergeCell ref="G152:H152"/>
    <mergeCell ref="G161:H161"/>
    <mergeCell ref="A144:H144"/>
    <mergeCell ref="A162:E162"/>
    <mergeCell ref="A145:H147"/>
    <mergeCell ref="A148:H148"/>
    <mergeCell ref="A151:E151"/>
    <mergeCell ref="A153:E153"/>
    <mergeCell ref="B133:H136"/>
    <mergeCell ref="A13:H14"/>
    <mergeCell ref="A17:H17"/>
    <mergeCell ref="A18:H18"/>
    <mergeCell ref="G21:H21"/>
    <mergeCell ref="G64:H64"/>
    <mergeCell ref="C19:F19"/>
    <mergeCell ref="G30:H30"/>
    <mergeCell ref="G32:H32"/>
    <mergeCell ref="G24:H24"/>
    <mergeCell ref="G25:H25"/>
    <mergeCell ref="G34:H34"/>
    <mergeCell ref="G36:H36"/>
    <mergeCell ref="G26:H26"/>
    <mergeCell ref="G38:H38"/>
    <mergeCell ref="G54:H54"/>
    <mergeCell ref="G58:H58"/>
    <mergeCell ref="A1:H1"/>
    <mergeCell ref="A3:H3"/>
    <mergeCell ref="A2:H2"/>
    <mergeCell ref="A4:H4"/>
    <mergeCell ref="A8:H11"/>
    <mergeCell ref="C6:F6"/>
    <mergeCell ref="G56:H56"/>
    <mergeCell ref="G46:H46"/>
    <mergeCell ref="B41:H42"/>
    <mergeCell ref="G91:H91"/>
    <mergeCell ref="G62:H62"/>
    <mergeCell ref="G45:H45"/>
    <mergeCell ref="G49:H49"/>
    <mergeCell ref="G52:H52"/>
    <mergeCell ref="C58:F58"/>
    <mergeCell ref="G76:H76"/>
    <mergeCell ref="G78:H78"/>
    <mergeCell ref="C157:E157"/>
    <mergeCell ref="B159:F159"/>
    <mergeCell ref="A140:H140"/>
    <mergeCell ref="A142:H142"/>
    <mergeCell ref="G66:H66"/>
    <mergeCell ref="G73:H73"/>
    <mergeCell ref="G86:H86"/>
    <mergeCell ref="G89:H89"/>
    <mergeCell ref="B108:H111"/>
    <mergeCell ref="B114:H116"/>
    <mergeCell ref="B117:H120"/>
    <mergeCell ref="B124:H127"/>
    <mergeCell ref="G101:H101"/>
    <mergeCell ref="G103:H103"/>
    <mergeCell ref="G97:H97"/>
    <mergeCell ref="G105:H105"/>
  </mergeCells>
  <phoneticPr fontId="0" type="noConversion"/>
  <printOptions horizontalCentered="1"/>
  <pageMargins left="0.27" right="0.17" top="0.18" bottom="0.48" header="0.94" footer="0.17"/>
  <pageSetup scale="99" fitToHeight="0" orientation="portrait" r:id="rId1"/>
  <headerFooter alignWithMargins="0">
    <oddFooter xml:space="preserve">&amp;L&amp;"Arial,Italic"&amp;8&amp;D&amp;T&amp;C&amp;"Arial,Italic"&amp;8
&amp;P of &amp;N&amp;R&amp;"Arial,Italic"&amp;8&amp;Z&amp;F 
</oddFooter>
  </headerFooter>
  <rowBreaks count="3" manualBreakCount="3">
    <brk id="58" max="16383" man="1"/>
    <brk id="105" max="16383" man="1"/>
    <brk id="1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Category xmlns="1836095c-a8e1-4e39-a688-07b849484023">Fiscal Oversight Training</Sub_x0020_Category>
    <Posted_x0020_Date xmlns="1836095c-a8e1-4e39-a688-07b849484023">2023-06-30T07:00:00+00:00</Posted_x0020_Date>
    <File_x0020_Name xmlns="1836095c-a8e1-4e39-a688-07b849484023" xsi:nil="true"/>
    <URL xmlns="1836095c-a8e1-4e39-a688-07b849484023" xsi:nil="true"/>
    <Category xmlns="1836095c-a8e1-4e39-a688-07b849484023">Other Resources</Category>
    <Year xmlns="1836095c-a8e1-4e39-a688-07b849484023">2023</Year>
    <TaxKeywordTaxHTField xmlns="2764f696-ee76-49e1-8758-169b4b8d5a2f">
      <Terms xmlns="http://schemas.microsoft.com/office/infopath/2007/PartnerControls"/>
    </TaxKeywordTaxHTField>
    <File_x0020_Content xmlns="1836095c-a8e1-4e39-a688-07b849484023" xsi:nil="true"/>
    <Plan xmlns="1836095c-a8e1-4e39-a688-07b849484023" xsi:nil="true"/>
    <TaxCatchAll xmlns="2764f696-ee76-49e1-8758-169b4b8d5a2f" xsi:nil="true"/>
    <_dlc_DocId xmlns="2764f696-ee76-49e1-8758-169b4b8d5a2f">D2A6QJZ574UD-1676105008-4412</_dlc_DocId>
    <_dlc_DocIdUrl xmlns="2764f696-ee76-49e1-8758-169b4b8d5a2f">
      <Url>https://fcmat2.sharepoint.com/sites/fcmat/_layouts/15/DocIdRedir.aspx?ID=D2A6QJZ574UD-1676105008-4412</Url>
      <Description>D2A6QJZ574UD-1676105008-4412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5" ma:contentTypeDescription="Create a new document." ma:contentTypeScope="" ma:versionID="ab5de79d2411beff157395c7f24f6b41">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5e7f5fa6770bad5d3c8dbc9aa617a5c3"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element ref="ns3:SharedWithUsers" minOccurs="0"/>
                <xsd:element ref="ns3:SharedWithDetails"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default="2022"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33AA92-3BE7-4EA3-ABCB-ECF9980EDC57}">
  <ds:schemaRefs>
    <ds:schemaRef ds:uri="http://schemas.microsoft.com/office/2006/metadata/properties"/>
    <ds:schemaRef ds:uri="http://schemas.microsoft.com/office/infopath/2007/PartnerControls"/>
    <ds:schemaRef ds:uri="1836095c-a8e1-4e39-a688-07b849484023"/>
    <ds:schemaRef ds:uri="2764f696-ee76-49e1-8758-169b4b8d5a2f"/>
  </ds:schemaRefs>
</ds:datastoreItem>
</file>

<file path=customXml/itemProps2.xml><?xml version="1.0" encoding="utf-8"?>
<ds:datastoreItem xmlns:ds="http://schemas.openxmlformats.org/officeDocument/2006/customXml" ds:itemID="{CD856570-909B-4E84-9D17-6596F73B9CF3}">
  <ds:schemaRefs>
    <ds:schemaRef ds:uri="http://schemas.microsoft.com/sharepoint/v3/contenttype/forms"/>
  </ds:schemaRefs>
</ds:datastoreItem>
</file>

<file path=customXml/itemProps3.xml><?xml version="1.0" encoding="utf-8"?>
<ds:datastoreItem xmlns:ds="http://schemas.openxmlformats.org/officeDocument/2006/customXml" ds:itemID="{DDB66E92-A62B-4046-9F03-8B28624BFD6E}">
  <ds:schemaRefs>
    <ds:schemaRef ds:uri="http://schemas.microsoft.com/sharepoint/events"/>
  </ds:schemaRefs>
</ds:datastoreItem>
</file>

<file path=customXml/itemProps4.xml><?xml version="1.0" encoding="utf-8"?>
<ds:datastoreItem xmlns:ds="http://schemas.openxmlformats.org/officeDocument/2006/customXml" ds:itemID="{FE8F9B92-13E3-407A-8352-716CBC81D014}">
  <ds:schemaRefs>
    <ds:schemaRef ds:uri="http://schemas.microsoft.com/office/2006/metadata/customXsn"/>
  </ds:schemaRefs>
</ds:datastoreItem>
</file>

<file path=customXml/itemProps5.xml><?xml version="1.0" encoding="utf-8"?>
<ds:datastoreItem xmlns:ds="http://schemas.openxmlformats.org/officeDocument/2006/customXml" ds:itemID="{FB2F499E-209A-4FB9-BF80-1BD79A63A8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Disclosure</vt:lpstr>
      <vt:lpstr>Summary!Print_Area</vt:lpstr>
      <vt:lpstr>Disclosure!Print_Titles</vt:lpstr>
      <vt:lpstr>Summary!Print_Titles</vt:lpstr>
    </vt:vector>
  </TitlesOfParts>
  <Company>SBCSS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 Advisory SBCSS</dc:creator>
  <cp:keywords/>
  <cp:lastModifiedBy>Charisse Wilson</cp:lastModifiedBy>
  <cp:lastPrinted>2020-09-22T00:04:17Z</cp:lastPrinted>
  <dcterms:created xsi:type="dcterms:W3CDTF">2000-04-21T16:45:47Z</dcterms:created>
  <dcterms:modified xsi:type="dcterms:W3CDTF">2023-07-25T19:29:33Z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51207463-ddd4-46c2-85b5-a63e181101d3</vt:lpwstr>
  </property>
  <property fmtid="{D5CDD505-2E9C-101B-9397-08002B2CF9AE}" pid="4" name="TaxKeyword">
    <vt:lpwstr/>
  </property>
</Properties>
</file>