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cwilson\Desktop\"/>
    </mc:Choice>
  </mc:AlternateContent>
  <xr:revisionPtr revIDLastSave="0" documentId="13_ncr:1_{F780EA8D-669B-4B08-ABE3-549D353E7FDA}" xr6:coauthVersionLast="47" xr6:coauthVersionMax="47" xr10:uidLastSave="{00000000-0000-0000-0000-000000000000}"/>
  <bookViews>
    <workbookView xWindow="-110" yWindow="-110" windowWidth="25820" windowHeight="14020" xr2:uid="{00000000-000D-0000-FFFF-FFFF00000000}"/>
  </bookViews>
  <sheets>
    <sheet name="Summary" sheetId="1" r:id="rId1"/>
    <sheet name="Disclosure" sheetId="2" r:id="rId2"/>
  </sheets>
  <definedNames>
    <definedName name="_xlnm.Print_Area" localSheetId="0">Summary!$A$1:$H$407</definedName>
    <definedName name="_xlnm.Print_Titles" localSheetId="1">Disclosure!$1:$7</definedName>
    <definedName name="_xlnm.Print_Titles" localSheetId="0">Summary!$6:$9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3" i="1" l="1"/>
  <c r="H361" i="1"/>
  <c r="E279" i="1" l="1"/>
  <c r="E274" i="1"/>
  <c r="E233" i="1"/>
  <c r="E228" i="1"/>
  <c r="E223" i="1"/>
  <c r="E184" i="1"/>
  <c r="H175" i="1"/>
  <c r="E174" i="1"/>
  <c r="E303" i="1"/>
  <c r="E252" i="1"/>
  <c r="H272" i="1"/>
  <c r="H221" i="1"/>
  <c r="H172" i="1"/>
  <c r="H76" i="1" l="1"/>
  <c r="H13" i="1"/>
  <c r="G54" i="2"/>
  <c r="G21" i="2"/>
  <c r="H77" i="1" l="1"/>
  <c r="B124" i="2"/>
  <c r="B159" i="2" l="1"/>
  <c r="H202" i="1"/>
  <c r="H203" i="1"/>
  <c r="H204" i="1"/>
  <c r="H201" i="1"/>
  <c r="H251" i="1"/>
  <c r="H252" i="1"/>
  <c r="H303" i="1" s="1"/>
  <c r="H253" i="1"/>
  <c r="H250" i="1"/>
  <c r="E301" i="1" s="1"/>
  <c r="H301" i="1" s="1"/>
  <c r="H302" i="1"/>
  <c r="H156" i="1"/>
  <c r="G196" i="1"/>
  <c r="E196" i="1"/>
  <c r="H196" i="1" s="1"/>
  <c r="G56" i="2"/>
  <c r="G26" i="2"/>
  <c r="A403" i="1"/>
  <c r="C157" i="2" s="1"/>
  <c r="A404" i="1"/>
  <c r="H222" i="1"/>
  <c r="H223" i="1"/>
  <c r="H228" i="1"/>
  <c r="H230" i="1"/>
  <c r="H231" i="1"/>
  <c r="H232" i="1"/>
  <c r="H233" i="1"/>
  <c r="H238" i="1"/>
  <c r="H239" i="1"/>
  <c r="H244" i="1"/>
  <c r="H179" i="1"/>
  <c r="H181" i="1"/>
  <c r="H182" i="1"/>
  <c r="H183" i="1"/>
  <c r="H184" i="1"/>
  <c r="H189" i="1"/>
  <c r="H190" i="1"/>
  <c r="H191" i="1"/>
  <c r="H194" i="1"/>
  <c r="H195" i="1"/>
  <c r="H199" i="1"/>
  <c r="H174" i="1"/>
  <c r="H173" i="1"/>
  <c r="A144" i="2"/>
  <c r="G102" i="1"/>
  <c r="H118" i="1" s="1"/>
  <c r="G38" i="2" s="1"/>
  <c r="G152" i="2"/>
  <c r="G150" i="2"/>
  <c r="G161" i="2"/>
  <c r="B108" i="2"/>
  <c r="B133" i="2"/>
  <c r="G58" i="2"/>
  <c r="H295" i="1"/>
  <c r="H283" i="1"/>
  <c r="H279" i="1"/>
  <c r="H281" i="1"/>
  <c r="H282" i="1"/>
  <c r="H284" i="1"/>
  <c r="H290" i="1"/>
  <c r="H274" i="1"/>
  <c r="H273" i="1"/>
  <c r="H289" i="1"/>
  <c r="G275" i="1"/>
  <c r="G285" i="1"/>
  <c r="G305" i="1" s="1"/>
  <c r="F275" i="1"/>
  <c r="E275" i="1"/>
  <c r="F224" i="1"/>
  <c r="G224" i="1"/>
  <c r="G234" i="1"/>
  <c r="G254" i="1" s="1"/>
  <c r="E224" i="1"/>
  <c r="F175" i="1"/>
  <c r="G175" i="1"/>
  <c r="G185" i="1"/>
  <c r="G205" i="1" s="1"/>
  <c r="E175" i="1"/>
  <c r="G97" i="2"/>
  <c r="E26" i="2"/>
  <c r="G62" i="1"/>
  <c r="G52" i="2" s="1"/>
  <c r="G46" i="2"/>
  <c r="B117" i="2"/>
  <c r="G110" i="1"/>
  <c r="G64" i="2" s="1"/>
  <c r="G103" i="1"/>
  <c r="G62" i="2" s="1"/>
  <c r="H366" i="1"/>
  <c r="H369" i="1" s="1"/>
  <c r="H371" i="1"/>
  <c r="G109" i="1"/>
  <c r="H83" i="1"/>
  <c r="H93" i="1"/>
  <c r="G93" i="1"/>
  <c r="G76" i="2"/>
  <c r="G25" i="2"/>
  <c r="C19" i="2"/>
  <c r="C6" i="2"/>
  <c r="G45" i="2"/>
  <c r="G49" i="2"/>
  <c r="G24" i="2"/>
  <c r="H47" i="1"/>
  <c r="H84" i="1" l="1"/>
  <c r="F180" i="1"/>
  <c r="E180" i="1" s="1"/>
  <c r="E229" i="1" s="1"/>
  <c r="E280" i="1" s="1"/>
  <c r="H304" i="1"/>
  <c r="H224" i="1"/>
  <c r="H275" i="1"/>
  <c r="G287" i="1"/>
  <c r="G292" i="1" s="1"/>
  <c r="G298" i="1" s="1"/>
  <c r="G306" i="1" s="1"/>
  <c r="G236" i="1"/>
  <c r="G241" i="1" s="1"/>
  <c r="G247" i="1" s="1"/>
  <c r="G255" i="1" s="1"/>
  <c r="G187" i="1"/>
  <c r="G192" i="1" s="1"/>
  <c r="G198" i="1" s="1"/>
  <c r="G206" i="1" s="1"/>
  <c r="H48" i="1"/>
  <c r="F178" i="1"/>
  <c r="E178" i="1" s="1"/>
  <c r="H375" i="1"/>
  <c r="H111" i="1"/>
  <c r="G32" i="2" s="1"/>
  <c r="G66" i="2"/>
  <c r="H104" i="1"/>
  <c r="G30" i="2" s="1"/>
  <c r="E227" i="1" l="1"/>
  <c r="E185" i="1"/>
  <c r="F229" i="1"/>
  <c r="H180" i="1"/>
  <c r="F227" i="1"/>
  <c r="F185" i="1"/>
  <c r="H178" i="1"/>
  <c r="H114" i="1"/>
  <c r="E205" i="1" l="1"/>
  <c r="E187" i="1"/>
  <c r="E192" i="1" s="1"/>
  <c r="E198" i="1" s="1"/>
  <c r="E206" i="1" s="1"/>
  <c r="E207" i="1" s="1"/>
  <c r="E278" i="1"/>
  <c r="E285" i="1" s="1"/>
  <c r="E234" i="1"/>
  <c r="F280" i="1"/>
  <c r="H280" i="1" s="1"/>
  <c r="H229" i="1"/>
  <c r="F187" i="1"/>
  <c r="F205" i="1"/>
  <c r="H185" i="1"/>
  <c r="H205" i="1" s="1"/>
  <c r="F278" i="1"/>
  <c r="F234" i="1"/>
  <c r="H227" i="1"/>
  <c r="G34" i="2"/>
  <c r="H116" i="1"/>
  <c r="E254" i="1" l="1"/>
  <c r="E236" i="1"/>
  <c r="E241" i="1" s="1"/>
  <c r="E305" i="1"/>
  <c r="E287" i="1"/>
  <c r="E292" i="1" s="1"/>
  <c r="G86" i="2"/>
  <c r="G151" i="1"/>
  <c r="H234" i="1"/>
  <c r="H254" i="1" s="1"/>
  <c r="F192" i="1"/>
  <c r="H187" i="1"/>
  <c r="F254" i="1"/>
  <c r="F236" i="1"/>
  <c r="F241" i="1" s="1"/>
  <c r="F247" i="1" s="1"/>
  <c r="F285" i="1"/>
  <c r="H278" i="1"/>
  <c r="H285" i="1" s="1"/>
  <c r="E209" i="1"/>
  <c r="E208" i="1"/>
  <c r="G36" i="2"/>
  <c r="H377" i="1"/>
  <c r="G153" i="1" l="1"/>
  <c r="G78" i="2" s="1"/>
  <c r="G73" i="2"/>
  <c r="F255" i="1"/>
  <c r="H236" i="1"/>
  <c r="H241" i="1" s="1"/>
  <c r="F198" i="1"/>
  <c r="H192" i="1"/>
  <c r="H305" i="1"/>
  <c r="H287" i="1"/>
  <c r="H292" i="1" s="1"/>
  <c r="F305" i="1"/>
  <c r="F287" i="1"/>
  <c r="F292" i="1" s="1"/>
  <c r="F298" i="1" s="1"/>
  <c r="F306" i="1" l="1"/>
  <c r="H198" i="1"/>
  <c r="F206" i="1"/>
  <c r="H206" i="1" s="1"/>
  <c r="H207" i="1" s="1"/>
  <c r="G207" i="1" s="1"/>
  <c r="H208" i="1" l="1"/>
  <c r="H209" i="1"/>
  <c r="F209" i="1" s="1"/>
  <c r="G89" i="2"/>
  <c r="G91" i="2" s="1"/>
  <c r="G101" i="2" s="1"/>
  <c r="H243" i="1"/>
  <c r="H245" i="1" s="1"/>
  <c r="H247" i="1" s="1"/>
  <c r="E243" i="1"/>
  <c r="E245" i="1" s="1"/>
  <c r="E247" i="1" s="1"/>
  <c r="I205" i="1"/>
  <c r="E294" i="1" l="1"/>
  <c r="E296" i="1" s="1"/>
  <c r="E298" i="1" s="1"/>
  <c r="I254" i="1"/>
  <c r="H294" i="1"/>
  <c r="H296" i="1" s="1"/>
  <c r="H298" i="1" s="1"/>
  <c r="E255" i="1"/>
  <c r="E258" i="1" s="1"/>
  <c r="G105" i="2"/>
  <c r="G103" i="2"/>
  <c r="I305" i="1" l="1"/>
  <c r="E257" i="1"/>
  <c r="H255" i="1"/>
  <c r="E256" i="1"/>
  <c r="E306" i="1"/>
  <c r="E309" i="1" l="1"/>
  <c r="H306" i="1"/>
  <c r="E308" i="1"/>
  <c r="E307" i="1"/>
  <c r="H256" i="1"/>
  <c r="G256" i="1" s="1"/>
  <c r="H258" i="1"/>
  <c r="F258" i="1" s="1"/>
  <c r="H257" i="1"/>
  <c r="H307" i="1" l="1"/>
  <c r="G307" i="1" s="1"/>
  <c r="H309" i="1"/>
  <c r="F309" i="1" s="1"/>
  <c r="H308" i="1"/>
</calcChain>
</file>

<file path=xl/sharedStrings.xml><?xml version="1.0" encoding="utf-8"?>
<sst xmlns="http://schemas.openxmlformats.org/spreadsheetml/2006/main" count="445" uniqueCount="317">
  <si>
    <t xml:space="preserve">with the </t>
  </si>
  <si>
    <t>OF PROPOSED COLLECTIVE BARGAINING AGREEMENT</t>
  </si>
  <si>
    <t xml:space="preserve">(AB1200 (Statutes of 1991, Chapter 1213) as revised by AB 2756 </t>
  </si>
  <si>
    <t>per employee</t>
  </si>
  <si>
    <t>Section 4:</t>
  </si>
  <si>
    <t>Section 3:</t>
  </si>
  <si>
    <t>Current Costs:</t>
  </si>
  <si>
    <t>Proposed Costs:</t>
  </si>
  <si>
    <t>Section 6:</t>
  </si>
  <si>
    <t>Salaries</t>
  </si>
  <si>
    <t>Benefits</t>
  </si>
  <si>
    <t>Total:</t>
  </si>
  <si>
    <t>(Includes annual step/column movement on schedule):</t>
  </si>
  <si>
    <t>Step &amp; column</t>
  </si>
  <si>
    <t>AVERAGE REPRESENTED EMPLOYEE</t>
  </si>
  <si>
    <t>(STRS, PERS, Workers Compensation, Unemployment Insurance, Social Security, Medicare)</t>
  </si>
  <si>
    <t>Section 13:</t>
  </si>
  <si>
    <t>Estimated</t>
  </si>
  <si>
    <t xml:space="preserve">SCHOOL DISTRICT </t>
  </si>
  <si>
    <t xml:space="preserve">BARGAINING UNIT </t>
  </si>
  <si>
    <t xml:space="preserve">To be acted upon by the Governing Board at its meeting on </t>
  </si>
  <si>
    <t xml:space="preserve">FORM FOR PUBLIC DISCLOSURE </t>
  </si>
  <si>
    <t>A.</t>
  </si>
  <si>
    <t>The proposed bargaining agreement covers the period beginning</t>
  </si>
  <si>
    <t>and ending</t>
  </si>
  <si>
    <t xml:space="preserve">for the following fiscal years </t>
  </si>
  <si>
    <t xml:space="preserve">If this agreement is part of a multi-year contract, indicate ALL fiscal years covered: </t>
  </si>
  <si>
    <t>Section 2:</t>
  </si>
  <si>
    <t xml:space="preserve">PERIOD OF AGREEMENT </t>
  </si>
  <si>
    <t>B.</t>
  </si>
  <si>
    <t>C.</t>
  </si>
  <si>
    <t>D.</t>
  </si>
  <si>
    <t>E.</t>
  </si>
  <si>
    <t xml:space="preserve">IMPACT OF PROPOSED AGREEMENT ON DISTRICT RESERVES </t>
  </si>
  <si>
    <t>in the General Fund of:</t>
  </si>
  <si>
    <t xml:space="preserve">SOURCE OF FUNDING FOR PROPOSED AGREEMENT </t>
  </si>
  <si>
    <t>Section 10:</t>
  </si>
  <si>
    <t>Section 11:</t>
  </si>
  <si>
    <t>G.</t>
  </si>
  <si>
    <t>F.</t>
  </si>
  <si>
    <t xml:space="preserve">Intent of Legislation: To ensure that members of the public are informed of the major provisions of a collective bargaining agreement before it becomes binding on the school district. </t>
  </si>
  <si>
    <t>PERIOD OF AGREEMENT:</t>
  </si>
  <si>
    <t xml:space="preserve">State-Recommended Minimum Reserve Level (after implementation of Proposed Agreement) </t>
  </si>
  <si>
    <t>SUMMARY OF PROPOSED AGREEMENT</t>
  </si>
  <si>
    <t xml:space="preserve"> BETWEEN THE</t>
  </si>
  <si>
    <t>SCHOOL DISTRICT</t>
  </si>
  <si>
    <t xml:space="preserve"> WITH THE</t>
  </si>
  <si>
    <t>GENERAL</t>
  </si>
  <si>
    <t>Section 1:</t>
  </si>
  <si>
    <t xml:space="preserve">STATUS OF BARGAINING UNIT AGREEMENTS </t>
  </si>
  <si>
    <t>Certificated:</t>
  </si>
  <si>
    <t>Fiscal Years:</t>
  </si>
  <si>
    <t>COMPENSATION PROVISIONS</t>
  </si>
  <si>
    <t xml:space="preserve">status (whether settled or pending settlement) of the remaining units: </t>
  </si>
  <si>
    <t xml:space="preserve"> </t>
  </si>
  <si>
    <t>OTHER PROVISIONS (COMPENSATION AND NON-COMPENSATION)</t>
  </si>
  <si>
    <t>Section 5:</t>
  </si>
  <si>
    <t>The following source(s) of funding have been identified to fund the proposed agreement</t>
  </si>
  <si>
    <t>Section 12:</t>
  </si>
  <si>
    <t>CERTIFICATION</t>
  </si>
  <si>
    <t>(signature)</t>
  </si>
  <si>
    <t>Date</t>
  </si>
  <si>
    <t>President, Governing Board</t>
  </si>
  <si>
    <t>If this Public Disclosure is not applicable to all of the District's bargaining units, indicate the current</t>
  </si>
  <si>
    <t>1.</t>
  </si>
  <si>
    <t>2.</t>
  </si>
  <si>
    <t>3.</t>
  </si>
  <si>
    <t>4.</t>
  </si>
  <si>
    <t>5.</t>
  </si>
  <si>
    <t>Step &amp; Column</t>
  </si>
  <si>
    <t>Cost of Benefits Before Agreement</t>
  </si>
  <si>
    <t>Cost of Benefits After Agreement</t>
  </si>
  <si>
    <t xml:space="preserve">Percentage Reserve Level </t>
  </si>
  <si>
    <t>6.</t>
  </si>
  <si>
    <t>7.</t>
  </si>
  <si>
    <t>8.</t>
  </si>
  <si>
    <t>9.</t>
  </si>
  <si>
    <t>General Fund &amp; Special Reserve Fund:</t>
  </si>
  <si>
    <t>(8010-8099)</t>
  </si>
  <si>
    <t xml:space="preserve">  Remaining Revenues</t>
  </si>
  <si>
    <t>(8100-8799)</t>
  </si>
  <si>
    <t>TOTAL</t>
  </si>
  <si>
    <t>OPERATING SURPLUS (DEFICIT)</t>
  </si>
  <si>
    <t>NET BEGINNING BALANCE</t>
  </si>
  <si>
    <t>(Col. 1)</t>
  </si>
  <si>
    <t>(Col. 2)</t>
  </si>
  <si>
    <t>(Col. 3)</t>
  </si>
  <si>
    <t>(Col. 4)</t>
  </si>
  <si>
    <t>OPERATING EXPENDITURES</t>
  </si>
  <si>
    <t xml:space="preserve">  1000 Certificated Salaries</t>
  </si>
  <si>
    <t xml:space="preserve">  2000 Classified Salaries</t>
  </si>
  <si>
    <t xml:space="preserve">  3000 Benefits</t>
  </si>
  <si>
    <t xml:space="preserve">  4000 Instructional Supplies</t>
  </si>
  <si>
    <t xml:space="preserve">  5000 Contracted Services</t>
  </si>
  <si>
    <t xml:space="preserve">  6000 Capital Outlay</t>
  </si>
  <si>
    <t xml:space="preserve">  7000 Other</t>
  </si>
  <si>
    <t xml:space="preserve">  Other Sources and Transfers In</t>
  </si>
  <si>
    <t xml:space="preserve">  Other Uses and Transfers Out</t>
  </si>
  <si>
    <t>Percentage of General Fund Expenditures/Uses</t>
  </si>
  <si>
    <t>GENERAL FUND RESERVES  (Fund 01 Unrestricted ONLY)</t>
  </si>
  <si>
    <t>Difference between District Reserves and Minimum State Requirement</t>
  </si>
  <si>
    <t>Section 9:</t>
  </si>
  <si>
    <t xml:space="preserve">#  FTE Represented </t>
  </si>
  <si>
    <t>Section 8:</t>
  </si>
  <si>
    <t>H.</t>
  </si>
  <si>
    <t>NARRATIVE OF AGREEMENT</t>
  </si>
  <si>
    <t xml:space="preserve">To be signed by the District Superintendent AND Chief Business Official when submitted for Public Disclosure and by the Board President after formal action by the Governing Board on the proposed agreement. </t>
  </si>
  <si>
    <t xml:space="preserve">To be acted upon by the Governing Board at its meeting on : </t>
  </si>
  <si>
    <t xml:space="preserve"> (enter Date)</t>
  </si>
  <si>
    <t>The proposed agreement covers the period beginning on:</t>
  </si>
  <si>
    <t>and ending on:</t>
  </si>
  <si>
    <t>(enter Begin Date)</t>
  </si>
  <si>
    <t>(enter End Date)</t>
  </si>
  <si>
    <t>Date of governing board approval of budget revisions in Section 9, Col.2  (below)</t>
  </si>
  <si>
    <t>Section 14:</t>
  </si>
  <si>
    <t>I.</t>
  </si>
  <si>
    <t>Current Cap:</t>
  </si>
  <si>
    <t>Proposed Cap:</t>
  </si>
  <si>
    <t>ADDITIONAL FISCAL INDICATORS- CRITERIA AND STANDARDS A.5.</t>
  </si>
  <si>
    <t>(REGARDLESS OF WHETHER  PREVIOUSLY BUDGETED IN WHOLE OR IN PART)</t>
  </si>
  <si>
    <t>Please NOTE:  The title reflected in Col. 1 can be modified if the agreement is being approved along with the Adopted Budget Process.  In this case, Col. 4 should reflect the Adopted Budget including the salary agreement and Col. 1 would reflect the Adopted Budget less Col. 2, the actual cost of the agreement.</t>
  </si>
  <si>
    <t>(This amount should tie to the multiyear projection sections for 1XXX-3XXX)</t>
  </si>
  <si>
    <r>
      <t>Minimum State Reserve Percentage</t>
    </r>
    <r>
      <rPr>
        <b/>
        <sz val="10"/>
        <rFont val="Arial"/>
        <family val="2"/>
      </rPr>
      <t xml:space="preserve"> (input %)</t>
    </r>
  </si>
  <si>
    <t>(This information is pulled from the SUMMARY section of this file which should be completed FIRST)</t>
  </si>
  <si>
    <t>MULTIYEAR CONTRACT AGREEMENT PROVISIONS</t>
  </si>
  <si>
    <t>BARGAINING UNIT (BU)</t>
  </si>
  <si>
    <t>Total Cost Increase or (Decrease):</t>
  </si>
  <si>
    <t>Percentage Increase or (Decrease):</t>
  </si>
  <si>
    <t>Salary Increase or (Decrease)</t>
  </si>
  <si>
    <t>% increase or (decrease) to existing schedule</t>
  </si>
  <si>
    <t>TOTAL PERCENTAGE CHANGE FOR</t>
  </si>
  <si>
    <t>SALARIES: PERCENTAGE CHANGE IN SALARIES IN PROPOSED AGREEMENT:</t>
  </si>
  <si>
    <t>The proposed agreement includes the following costs for employee statutory and health/welfare benefits:</t>
  </si>
  <si>
    <t>Total Statutory Benefit Costs:</t>
  </si>
  <si>
    <t>Total Cost Increase or (decrease):</t>
  </si>
  <si>
    <t>Percentage Change:</t>
  </si>
  <si>
    <t>(Based on Year to Date (YTD) Actuals Projected through 6/30):</t>
  </si>
  <si>
    <t>(Include any retroactive pay increases or (decreases) or one time bonuses/stipends or (reductions), as applicable):</t>
  </si>
  <si>
    <t>Total Health and Welfare Costs:</t>
  </si>
  <si>
    <t xml:space="preserve">TOTAL COST OR (SAVINGS) OF COMPENSATION CHANGES </t>
  </si>
  <si>
    <r>
      <t xml:space="preserve">Current Year Combined Cost Before Settlement: </t>
    </r>
    <r>
      <rPr>
        <i/>
        <sz val="10"/>
        <rFont val="Arial"/>
        <family val="2"/>
      </rPr>
      <t>(data pulls from above)</t>
    </r>
  </si>
  <si>
    <r>
      <t>Current Year Cost After Settlement:</t>
    </r>
    <r>
      <rPr>
        <i/>
        <sz val="10"/>
        <rFont val="Arial"/>
        <family val="2"/>
      </rPr>
      <t xml:space="preserve"> (data pulls from above)</t>
    </r>
  </si>
  <si>
    <t>TOTAL COST INCREASE OR (DECREASE)</t>
  </si>
  <si>
    <t>PERCENTAGE CHANGE</t>
  </si>
  <si>
    <t>Section 7:  State Minimum Reserve Standard Calculation:</t>
  </si>
  <si>
    <r>
      <t xml:space="preserve">Total Expenditures and Other Uses: </t>
    </r>
    <r>
      <rPr>
        <b/>
        <i/>
        <sz val="10"/>
        <rFont val="Arial"/>
        <family val="2"/>
      </rPr>
      <t>(pulls from MYP Sec. 9)</t>
    </r>
  </si>
  <si>
    <t>provide a detailed explanation of differences.</t>
  </si>
  <si>
    <t>If the board-approved revisions input are different from the proposed budget adjustments in Col. 2</t>
  </si>
  <si>
    <t>Nonspendable (9711-9719)</t>
  </si>
  <si>
    <t>Restricted (9740)</t>
  </si>
  <si>
    <t>Committed (9750/9760)</t>
  </si>
  <si>
    <t>Assigned (9780)</t>
  </si>
  <si>
    <t>Reserve Economic Uncertainties (9789)</t>
  </si>
  <si>
    <t>Unassigned/Unappropriated (9790)</t>
  </si>
  <si>
    <t>ENDING FUND BALANCE (EFB)</t>
  </si>
  <si>
    <t>COMPONENTS OF ABOVE EFB:</t>
  </si>
  <si>
    <t>State Minimum Reserves %</t>
  </si>
  <si>
    <t>Prior-Year Adjustments (9792-9795)</t>
  </si>
  <si>
    <t xml:space="preserve">Are budgets in balance? </t>
  </si>
  <si>
    <t>Did you adjust reserves? s/b $0</t>
  </si>
  <si>
    <t>ADA Increase/(Decrease) from Prior Year as %</t>
  </si>
  <si>
    <t>= Amount of Current-Year Increase or (decrease):</t>
  </si>
  <si>
    <t>Indicate Total Settlement Percentage Change from Section 5</t>
  </si>
  <si>
    <r>
      <t xml:space="preserve">Budget Revisions to be INPUT no later than 45 days after approval: </t>
    </r>
    <r>
      <rPr>
        <b/>
        <i/>
        <sz val="10"/>
        <rFont val="Arial"/>
        <family val="2"/>
      </rPr>
      <t>(will calc + 45 days)</t>
    </r>
  </si>
  <si>
    <t>Bargaining Unit.</t>
  </si>
  <si>
    <t xml:space="preserve">TOTAL COST CHANGE TO IMPLEMENT PROPOSED AGREEMENT (SALARIES &amp; BENEFITS) </t>
  </si>
  <si>
    <t>The total change in costs for salaries and employee benefits in the proposed agreement:</t>
  </si>
  <si>
    <t>Total Cost Change</t>
  </si>
  <si>
    <t>Percentage Change</t>
  </si>
  <si>
    <t>Salary Schedule change</t>
  </si>
  <si>
    <t>(% Change To Existing Salary Schedule)</t>
  </si>
  <si>
    <t>TOTAL PERCENTAGE CHANGE FOR THE</t>
  </si>
  <si>
    <t>Percentage Change in Total Costs</t>
  </si>
  <si>
    <t>Based On Total Expenditures and Other Uses</t>
  </si>
  <si>
    <t>State Standard for District:</t>
  </si>
  <si>
    <t>Amount of State Minimum Reserve Standard:</t>
  </si>
  <si>
    <t xml:space="preserve">SUFFICIENCY OF DISTRICT UNRESTRICTED RESERVES to meet the minimum recommended level AFTER IMPLEMENTATION OF PROPOSED AGREEMENT: </t>
  </si>
  <si>
    <t xml:space="preserve">Reserve for Economic </t>
  </si>
  <si>
    <t>Uncertainties (Object 9789)</t>
  </si>
  <si>
    <t xml:space="preserve">(Object 9790) </t>
  </si>
  <si>
    <t xml:space="preserve">Unassigned/Unappropriated </t>
  </si>
  <si>
    <t>Reserve for Economic Uncertainties</t>
  </si>
  <si>
    <t xml:space="preserve">(Object 9789) </t>
  </si>
  <si>
    <t>TOTAL DISTRICT RESERVES, applicable to State Minimum Reserve Standard:</t>
  </si>
  <si>
    <t>SPECIAL RESERVE FUND  (Fund 17, as applicable)</t>
  </si>
  <si>
    <t>Total Reserves:  (Object 9789 + 9790)</t>
  </si>
  <si>
    <t>The following assumptions were used to determine that resources will be available to fund these obligations in future fiscal years (including any compensation and/or noncompensation provisions specified below that have been agreed upon if the proposed agreement is part of a multi-year contract):</t>
  </si>
  <si>
    <t xml:space="preserve">After public disclosure of the major provisions contained in this Summary, the Governing Board, at its </t>
  </si>
  <si>
    <t>meeting on</t>
  </si>
  <si>
    <t xml:space="preserve">took action to approve the proposed Agreement </t>
  </si>
  <si>
    <t>BENEFITS: PERCENTAGE CHANGE IN EMPLOYEE BENEFITS IN PROPOSED AGREEMENT:</t>
  </si>
  <si>
    <t>1% CHANGE IN SALARY AND STATUTORY BENEFIT COSTS (prior to any settlements):</t>
  </si>
  <si>
    <t>FISCAL IMPACT IN CURRENT  AND TWO SUBSEQUENT FISCAL YEARS</t>
  </si>
  <si>
    <t xml:space="preserve">FINANCIAL IMPACT OF PROPOSED AGREEMENT IN SUBSEQUENT FISCAL YEARS </t>
  </si>
  <si>
    <t xml:space="preserve">  LCFF Sources</t>
  </si>
  <si>
    <t>= Percentage Increase or (decrease) in LCFF per ADA:</t>
  </si>
  <si>
    <t>Total LCFF % increase or (decrease) plus ADA % change</t>
  </si>
  <si>
    <t>District Superintendent - signature</t>
  </si>
  <si>
    <t>Chief Business Official- signature</t>
  </si>
  <si>
    <t>BEGINNING FUND BALANCE 9791-92</t>
  </si>
  <si>
    <t>Prior-Year Adjustments 9793-95</t>
  </si>
  <si>
    <t>FUND 17 RESERVES (9789) or N/A</t>
  </si>
  <si>
    <t xml:space="preserve">(Statutes of 2004, Chapter 25), Government Code 3547.5 &amp; 3540.2 ) </t>
  </si>
  <si>
    <t>(% change for one time bonus/stipend or salary reduction)</t>
  </si>
  <si>
    <t>Total # of Instructional Days to be provided in Fiscal Year (applicable to Certificated BU agreements only)</t>
  </si>
  <si>
    <t>We hereby certify that the costs incurred by the school district under this agreement can be met by the district during the term of the agreement.</t>
  </si>
  <si>
    <t>After public disclosure of the major provisions contained in this Summary, the Governing Board, at its meeting on</t>
  </si>
  <si>
    <t>(CY LCFF Entitlement per ADA, FCMAT LCFF Calculator, Calculator Tab, Row 79)</t>
  </si>
  <si>
    <t>(PY LCFF Entitlement per ADA, FCMAT LCFF Calculator, Calculator Tab, Row 79)</t>
  </si>
  <si>
    <t xml:space="preserve">Classified: </t>
  </si>
  <si>
    <t>Reopeners: Yes or NO ?</t>
  </si>
  <si>
    <r>
      <t>SUBSEQUENT FISCAL YEARS</t>
    </r>
    <r>
      <rPr>
        <b/>
        <sz val="10"/>
        <rFont val="Arial"/>
        <family val="2"/>
      </rPr>
      <t>. (Reflect both Unrestricted and Restricted General Fund Budget Amounts)</t>
    </r>
  </si>
  <si>
    <t>IMPACT OF PROPOSED AGREEMENT ON THE GENERAL FUND BUDGET IN CURRENT AND TWO</t>
  </si>
  <si>
    <t>(DECREASE) TO FUND BALANCE</t>
  </si>
  <si>
    <t>CURRENT YEAR INCREASE/</t>
  </si>
  <si>
    <t xml:space="preserve">CURRENT YEAR INCREASE/ </t>
  </si>
  <si>
    <t>COMPONENTS OF EFB (above):</t>
  </si>
  <si>
    <t>C. REOPENERS, CONTINGENCY AND/OR RESTORATION LANGUAGE: Describe specific areas identified for Reopeners, Contingency, and/or Restoration (include triggers and timing).  Provide copy of Board Action to BAS upon approval.</t>
  </si>
  <si>
    <t>in accordance with E.C. 42142 and Government Code 3547.5.</t>
  </si>
  <si>
    <t>Indicate Total # of Instructional Days to be provided for fiscal year:</t>
  </si>
  <si>
    <t>% increase or (decrease) for one-time bonus/stipend or (salary reduction)</t>
  </si>
  <si>
    <t>Average Capped Amount increase or (decrease) per employee</t>
  </si>
  <si>
    <t xml:space="preserve">   if Yes, what Areas?</t>
  </si>
  <si>
    <t>TOTAL COST INCREASE OR (SAVINGS) FOR SALARIES AND BENEFITS IN THE PROPOSED AGREEMENT:</t>
  </si>
  <si>
    <r>
      <t xml:space="preserve">Statutory Benefits: </t>
    </r>
    <r>
      <rPr>
        <i/>
        <sz val="10"/>
        <rFont val="Arial"/>
        <family val="2"/>
      </rPr>
      <t>(object 3XXX less 34XX)</t>
    </r>
  </si>
  <si>
    <r>
      <t xml:space="preserve">District Health and Welfare Plans - </t>
    </r>
    <r>
      <rPr>
        <i/>
        <sz val="10"/>
        <rFont val="Arial"/>
        <family val="2"/>
      </rPr>
      <t xml:space="preserve">Object 34XX </t>
    </r>
    <r>
      <rPr>
        <sz val="10"/>
        <rFont val="Arial"/>
        <family val="2"/>
      </rPr>
      <t>(Medical, Dental, Vision, Life Insurance, Other)</t>
    </r>
  </si>
  <si>
    <t>(Based on YTD Actuals Projected through 6/30 and current agreement)</t>
  </si>
  <si>
    <t>(Include any retroactive pay increases or (decreases) or one-time bonuses/stipends or (reductions)):</t>
  </si>
  <si>
    <t xml:space="preserve">B. NON-COMPENSATION: Class Size Changes (indicate before and after class sizes/grades affected; and, if applied for CDE waiver (attach copy)), Staff Development Days, Teacher Prep Time, etc..  </t>
  </si>
  <si>
    <r>
      <t xml:space="preserve">The following are additional compensation and non-compensation provisions contained in the proposed agreement: (Indicate, </t>
    </r>
    <r>
      <rPr>
        <b/>
        <u/>
        <sz val="10"/>
        <rFont val="Arial"/>
        <family val="2"/>
      </rPr>
      <t>IN DETAIL</t>
    </r>
    <r>
      <rPr>
        <sz val="10"/>
        <rFont val="Arial"/>
        <family val="2"/>
      </rPr>
      <t>, the terms of the agreement covered in each section)</t>
    </r>
  </si>
  <si>
    <r>
      <t xml:space="preserve">Minimum State Reserve Requirement: </t>
    </r>
    <r>
      <rPr>
        <b/>
        <i/>
        <sz val="10"/>
        <rFont val="Arial"/>
        <family val="2"/>
      </rPr>
      <t>(Formula includes Total Exp/Uses x Minimum Reserve %)</t>
    </r>
  </si>
  <si>
    <t>(Pulls from above Governing Board Date plus 45 days)</t>
  </si>
  <si>
    <t>OPERATING REVENUES: LCFF ADA</t>
  </si>
  <si>
    <t>OPERATING SURPLUS/(DEFICIT)</t>
  </si>
  <si>
    <r>
      <t>BEGINNING FUND BALANCE (9791) (P</t>
    </r>
    <r>
      <rPr>
        <b/>
        <i/>
        <sz val="10"/>
        <rFont val="Arial"/>
        <family val="2"/>
      </rPr>
      <t>ulls from prior year EFB)</t>
    </r>
  </si>
  <si>
    <t>Assumptions used for LCFF Gap%, Unduplicated %, Other Revenue COLAs, Addl/Reduced staffing, etc., explain below:</t>
  </si>
  <si>
    <t>If the total amount of the adjustment in Column 2 does not agree with the amount of the total cost shown in Section 5, Total Costs, please explain below.  Also, list any other assumptions used or included in Column 3:</t>
  </si>
  <si>
    <r>
      <t>BEGINNING FUND BALANCE (9791)</t>
    </r>
    <r>
      <rPr>
        <b/>
        <i/>
        <sz val="10"/>
        <rFont val="Arial"/>
        <family val="2"/>
      </rPr>
      <t xml:space="preserve"> (Pulls from prior year EFB)</t>
    </r>
  </si>
  <si>
    <t>Assumptions used for LCFF Gap%, Unduplicated %, Other Revenue COLAs, Addl/Reduced Staffing, etc., explain below:</t>
  </si>
  <si>
    <r>
      <t xml:space="preserve">MULTI-YEAR CONTRACT AGREEMENT PROVISIONS: The proposed agreement contains the following COLAs and other compensation/non-compensation provisions for subsequent years as follows </t>
    </r>
    <r>
      <rPr>
        <b/>
        <i/>
        <sz val="10"/>
        <rFont val="Arial"/>
        <family val="2"/>
      </rPr>
      <t>(text pulls into disclosure</t>
    </r>
    <r>
      <rPr>
        <b/>
        <sz val="10"/>
        <rFont val="Arial"/>
        <family val="2"/>
      </rPr>
      <t xml:space="preserve">):  </t>
    </r>
    <r>
      <rPr>
        <b/>
        <u/>
        <sz val="10"/>
        <rFont val="Arial"/>
        <family val="2"/>
      </rPr>
      <t>Send copy of final Agreement to BAS upon Board Approval</t>
    </r>
  </si>
  <si>
    <t>NARRATIVE OF AGREEMENT: Provide a brief narrative of the proposed changes in compensation or health premiums, including percentage changes, effective dates, and comments and/or explanations.  (text pulls into disclosure):</t>
  </si>
  <si>
    <r>
      <t>FINANCIAL IMPACT OF PROPOSED AGREEMENT IN SUBSEQUENT FISCAL YEARS: The following assumptions were used to determine that resources will be available to fund these obligations in future fiscal years. (Include any compensation/noncompensation provisions specified below.)  (</t>
    </r>
    <r>
      <rPr>
        <b/>
        <i/>
        <sz val="10"/>
        <rFont val="Arial"/>
        <family val="2"/>
      </rPr>
      <t>text pulls into disclosure</t>
    </r>
    <r>
      <rPr>
        <b/>
        <sz val="10"/>
        <rFont val="Arial"/>
        <family val="2"/>
      </rPr>
      <t>):</t>
    </r>
  </si>
  <si>
    <t>SOURCE OF FUNDING FOR PROPOSED AGREEMENT: Provide a brief narrative of the funds available in the current year to provide for the costs of this agreement.  (text pulls into disclosure):</t>
  </si>
  <si>
    <t xml:space="preserve">This section is in response to the Criteria and Standards Additional Fiscal Indicators #A.5., which asks: "Has the district entered into a bargaining agreement where any of the budget or subsequent years of the agreement would result in salary increases that are expected to exceed the projected state cost of living adjustment." </t>
  </si>
  <si>
    <t>COMPARISON OF PROPOSED AGREEMENT TO CHANGE IN DISTRICT LOCAL CONTROL FUNDING FORMULA (LCFF):</t>
  </si>
  <si>
    <t>(C)</t>
  </si>
  <si>
    <t>(D)</t>
  </si>
  <si>
    <t>(E)</t>
  </si>
  <si>
    <t>(F)</t>
  </si>
  <si>
    <t>(G)</t>
  </si>
  <si>
    <t xml:space="preserve">(A) minus (B) </t>
  </si>
  <si>
    <t xml:space="preserve">(C) divided by (B) </t>
  </si>
  <si>
    <t>Current year P-2 LCFF funded ADA (greater of PY guarantee or current year)</t>
  </si>
  <si>
    <t>Prior Year P-2 LCFF funded ADA (greater of PY guarantee or current year)</t>
  </si>
  <si>
    <t>If proposed agreement % on Line G is greater than Line F, please provide explanation below:</t>
  </si>
  <si>
    <t>WE HEREBY CERTIFY THAT THE COSTS INCURRED BY THE SCHOOL DISTRICT UNDER THIS AGREEMENT CAN BE MET BY THE DISTRICT DURING THE TERM OF THE AGREEMENT.</t>
  </si>
  <si>
    <t xml:space="preserve">took action to approve the proposed Agreement with the </t>
  </si>
  <si>
    <t xml:space="preserve">(A) </t>
  </si>
  <si>
    <t>Current-year (CY) LCFF Average Rate per ADA:</t>
  </si>
  <si>
    <t xml:space="preserve">(B) </t>
  </si>
  <si>
    <t>Less Prior-Year (PY) LCFF BASC Calculator Rate per ADA:</t>
  </si>
  <si>
    <t>Chief Business Official - signature</t>
  </si>
  <si>
    <t>President, Governing Board - signature</t>
  </si>
  <si>
    <r>
      <t xml:space="preserve">To be signed by the </t>
    </r>
    <r>
      <rPr>
        <b/>
        <i/>
        <sz val="10"/>
        <rFont val="Arial"/>
        <family val="2"/>
      </rPr>
      <t xml:space="preserve">District Superintendent AND Chief Business Official </t>
    </r>
    <r>
      <rPr>
        <b/>
        <i/>
        <u/>
        <sz val="10"/>
        <rFont val="Arial"/>
        <family val="2"/>
      </rPr>
      <t>upon submission to the Governing Board</t>
    </r>
    <r>
      <rPr>
        <i/>
        <sz val="10"/>
        <rFont val="Arial"/>
        <family val="2"/>
      </rPr>
      <t xml:space="preserve"> and by</t>
    </r>
    <r>
      <rPr>
        <b/>
        <i/>
        <sz val="10"/>
        <rFont val="Arial"/>
        <family val="2"/>
      </rPr>
      <t xml:space="preserve"> the Board President </t>
    </r>
    <r>
      <rPr>
        <b/>
        <i/>
        <u/>
        <sz val="10"/>
        <rFont val="Arial"/>
        <family val="2"/>
      </rPr>
      <t>upon formal Board action</t>
    </r>
    <r>
      <rPr>
        <i/>
        <sz val="10"/>
        <rFont val="Arial"/>
        <family val="2"/>
      </rPr>
      <t xml:space="preserve"> on the proposed agreement. </t>
    </r>
  </si>
  <si>
    <t>This document is REQUIRED whenever a NEW or AMENDED agreement is ratified.</t>
  </si>
  <si>
    <t>(Separate disclosures should be made for each bargaining unit agreement)</t>
  </si>
  <si>
    <t>FOR SUBMISSION TO THE GOVERNING BOARD AND THE COUNTY SUPERINTENDENT OF SCHOOLS in compliance with the Public Disclosure requirements of AB 1200 (Statutes 1991, Chapter 1213) as revised by AB 2756  (Statues of 2004, Chapter 25), Government Code 3547.5 &amp; 3540.2.</t>
  </si>
  <si>
    <t>The proposed agreement includes the following costs for salaries for the above-mentioned Bargaining unit:</t>
  </si>
  <si>
    <t>Current Year Salary Cost Before Settlement</t>
  </si>
  <si>
    <t>Current Year Salary Cost After Settlement</t>
  </si>
  <si>
    <t>SALARY CHANGE FOR AN AVERAGE, REPRESENTED EMPLOYEE FROM PRIOR YEAR</t>
  </si>
  <si>
    <t>Indicate Change in # of Work Days, Furlough or Additional, Related to % Change</t>
  </si>
  <si>
    <t>Indicate Total # of Work Days to be provided for fiscal year:</t>
  </si>
  <si>
    <t>Indicate if Health/Welfare Benefits are Capped: (Include details such as different caps per health plans or any super composite rates.  Also, indicate if cap includes health benefits only or also other insurances.)</t>
  </si>
  <si>
    <t>A. OTHER COMPENSATION: Off-Schedule Stipends/Bonuses, Reductions, etc. (amounts, staff affected, total cost and/or savings).</t>
  </si>
  <si>
    <t>In-Lieu of this form, an updated Form MYP can be supplied which includes the results of the settlement over the</t>
  </si>
  <si>
    <t>most recent Form MYP filed with this office.</t>
  </si>
  <si>
    <t>Projected District 
Budget After Settlement 
of Agreement
(Cols. 1 + 2 + 3)</t>
  </si>
  <si>
    <t>Adjustments as a 
Direct Result of 
this Proposed 
Settlement</t>
  </si>
  <si>
    <t>Other Revisions 
(Including Other 
Proposed BU 
Agreements) 
Required to support 
cost of agreement
(i.e. "me-too")</t>
  </si>
  <si>
    <r>
      <t>Districts with a Qualified or Negative Certification</t>
    </r>
    <r>
      <rPr>
        <b/>
        <i/>
        <sz val="10"/>
        <rFont val="Arial"/>
        <family val="2"/>
      </rPr>
      <t xml:space="preserve">: Per Govenment Code 3540.2, signatures of the District Superintendent and Chief Business Official must accompany the Summary Disclosure sent to the County Superintendent for review </t>
    </r>
    <r>
      <rPr>
        <b/>
        <i/>
        <u/>
        <sz val="10"/>
        <rFont val="Arial"/>
        <family val="2"/>
      </rPr>
      <t>10 days prior to the board meeting that will ratify the agreement</t>
    </r>
    <r>
      <rPr>
        <b/>
        <i/>
        <sz val="10"/>
        <rFont val="Arial"/>
        <family val="2"/>
      </rPr>
      <t>.</t>
    </r>
  </si>
  <si>
    <t>The information provided in this document summarizes the financial implications of the proposed agreement and is submitted for public disclosure in accordance with the requirements of AB 1200, AB 2756 and GC 3547.5.</t>
  </si>
  <si>
    <t>The information provided in this document summarizes the financial implications of the proposed agreement and is submitted to the Governing Board for public disclosure of the major provisions of the agreement (as provided in the “Public Disclosure of Proposed Collective Bargaining Agreement”) in accordance with the requirements of AB 1200,   AB 2756, GC 3547.5, and GC 3540.2.</t>
  </si>
  <si>
    <r>
      <t xml:space="preserve">Government Code Section 3547.5: </t>
    </r>
    <r>
      <rPr>
        <b/>
        <u/>
        <sz val="10"/>
        <rFont val="Arial"/>
        <family val="2"/>
      </rPr>
      <t>Before</t>
    </r>
    <r>
      <rPr>
        <sz val="10"/>
        <rFont val="Arial"/>
        <family val="2"/>
      </rPr>
      <t xml:space="preserve"> a public school employer enters into a written agreement with an exclusive representative covering matters within the scope of representation, the major provisions of the agreement, including, but not limited to, the costs that would be incurred by the public school employer under the agreement for the current and subsequent fiscal years, shall be disclosed at a public meeting of the public school employer. </t>
    </r>
  </si>
  <si>
    <t>Current Year Costs Before Agreement</t>
  </si>
  <si>
    <t>Current Year Costs After Agreement</t>
  </si>
  <si>
    <t>Value of a 1% Change</t>
  </si>
  <si>
    <t xml:space="preserve">The total percentage change in salary, including annual step and column movement on the salary schedule (as applicable), for the average, represented employee under this proposed agreement: </t>
  </si>
  <si>
    <t xml:space="preserve">PERCENTAGE SALARY CHANGE FOR AVERAGE, REPRESENTED EMPLOYEE </t>
  </si>
  <si>
    <t>(Average % Change Over Prior Year Salary Schedule)</t>
  </si>
  <si>
    <t>average % annual change over the prior year schedule</t>
  </si>
  <si>
    <t xml:space="preserve">AVERAGE, REPRESENTED EMPLOYEE </t>
  </si>
  <si>
    <t>Change in # of Work Days (+/-) Related to % Change</t>
  </si>
  <si>
    <t>MAJOR PROVISIONS OF PROPOSED AGREEMENT WITH THE</t>
  </si>
  <si>
    <t>Total # of Work Days to be provided in Fiscal Year</t>
  </si>
  <si>
    <t xml:space="preserve">PERCENTAGE BENEFITS CHANGE FOR BOTH STATUTORY AND DISTRICT-PROVIDED EMPLOYEE BENEFITS INCLUDED IN THIS PROPOSED AGREEMENT: </t>
  </si>
  <si>
    <t>Estimated Agreement Payment Date</t>
  </si>
  <si>
    <t>cross-check = total columns 1-3</t>
  </si>
  <si>
    <t>Provide proof that board-approved budget revisions have been input within 45 days.  Date budget revisions input/BT #'s:</t>
  </si>
  <si>
    <t>Any School Teacher's Association</t>
  </si>
  <si>
    <t>Not Settled</t>
  </si>
  <si>
    <t>Benefits are capped</t>
  </si>
  <si>
    <t>District ongoing LCFF funding will be used to fund this agreement in the current and future years.</t>
  </si>
  <si>
    <t>Step and column costs applied to salary and benefit cost increases.</t>
  </si>
  <si>
    <t>Any Unified</t>
  </si>
  <si>
    <t>Yes</t>
  </si>
  <si>
    <t>This settlement is the result of reopeners included in the current agreement with the following term: 07/01/2021-06/30/2024</t>
  </si>
  <si>
    <t>None.</t>
  </si>
  <si>
    <t>BT #'s: 55-60</t>
  </si>
  <si>
    <t>2023-24</t>
  </si>
  <si>
    <t>Current Fiscal Year      2023-24</t>
  </si>
  <si>
    <t>First Subsequent Year  2024-25</t>
  </si>
  <si>
    <t>Second Subsequent Year  2025-26</t>
  </si>
  <si>
    <t>Latest Board-Approved Budget Before Settlement</t>
  </si>
  <si>
    <t>Latest Board-Approved Budget Before Settlement as of</t>
  </si>
  <si>
    <t>Effective July 1, 2023, a 11.0% increase will be applied to all ASTA salary schedules.  In addition, the district will provide a one-time off schedule payment of $1,500 for all ASTA employees in active status as of 08/01/2023 and pro-rated per full-time equivalent (FTE).  Additionally the health and welfare contribution cap will increase by $2,000 to $20,500.</t>
  </si>
  <si>
    <t>Column 3 reflects other adjustments relating to the district's most recent MYP and pending tentative agreement with classified bargaining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</si>
</sst>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mm/dd/yy"/>
    <numFmt numFmtId="165" formatCode="_(* #,##0_);_(* \(#,##0\);_(* &quot;-&quot;??_);_(@_)"/>
    <numFmt numFmtId="166" formatCode="0.0%"/>
    <numFmt numFmtId="167" formatCode="0.00%;[Red]\(#.##%\)"/>
    <numFmt numFmtId="168" formatCode="0.00%;[Red]\(0.00%\)"/>
    <numFmt numFmtId="169" formatCode="&quot;$&quot;#,##0.00"/>
    <numFmt numFmtId="170" formatCode="[$-F800]dddd\,\ mmmm\ dd\,\ yyyy"/>
    <numFmt numFmtId="171" formatCode="#,##0.0"/>
    <numFmt numFmtId="172" formatCode="0_);[Red]\(0\)"/>
  </numFmts>
  <fonts count="24" x14ac:knownFonts="1">
    <font>
      <sz val="10"/>
      <name val="Arial"/>
    </font>
    <font>
      <sz val="10"/>
      <name val="Arial"/>
      <family val="2"/>
    </font>
    <font>
      <b/>
      <sz val="10"/>
      <name val="Arial"/>
      <family val="2"/>
    </font>
    <font>
      <b/>
      <i/>
      <sz val="10"/>
      <name val="Arial"/>
      <family val="2"/>
    </font>
    <font>
      <sz val="8"/>
      <name val="Arial"/>
      <family val="2"/>
    </font>
    <font>
      <sz val="10"/>
      <name val="Arial"/>
      <family val="2"/>
    </font>
    <font>
      <b/>
      <sz val="10"/>
      <color indexed="10"/>
      <name val="Arial"/>
      <family val="2"/>
    </font>
    <font>
      <sz val="9"/>
      <name val="Arial"/>
      <family val="2"/>
    </font>
    <font>
      <b/>
      <sz val="9"/>
      <name val="Arial"/>
      <family val="2"/>
    </font>
    <font>
      <sz val="9"/>
      <color indexed="10"/>
      <name val="Arial"/>
      <family val="2"/>
    </font>
    <font>
      <b/>
      <i/>
      <sz val="8"/>
      <name val="Arial"/>
      <family val="2"/>
    </font>
    <font>
      <b/>
      <sz val="12"/>
      <name val="Arial"/>
      <family val="2"/>
    </font>
    <font>
      <b/>
      <i/>
      <sz val="9"/>
      <name val="Arial"/>
      <family val="2"/>
    </font>
    <font>
      <b/>
      <sz val="8"/>
      <name val="Arial"/>
      <family val="2"/>
    </font>
    <font>
      <b/>
      <u/>
      <sz val="10"/>
      <name val="Arial"/>
      <family val="2"/>
    </font>
    <font>
      <b/>
      <i/>
      <u/>
      <sz val="10"/>
      <name val="Arial"/>
      <family val="2"/>
    </font>
    <font>
      <i/>
      <sz val="10"/>
      <name val="Arial"/>
      <family val="2"/>
    </font>
    <font>
      <i/>
      <sz val="8"/>
      <name val="Arial"/>
      <family val="2"/>
    </font>
    <font>
      <i/>
      <sz val="9"/>
      <name val="Arial"/>
      <family val="2"/>
    </font>
    <font>
      <u/>
      <sz val="10"/>
      <name val="Arial"/>
      <family val="2"/>
    </font>
    <font>
      <b/>
      <i/>
      <sz val="10"/>
      <color indexed="10"/>
      <name val="Arial"/>
      <family val="2"/>
    </font>
    <font>
      <sz val="10"/>
      <color indexed="63"/>
      <name val="Arial"/>
      <family val="2"/>
    </font>
    <font>
      <sz val="9"/>
      <name val="Arial"/>
      <family val="2"/>
    </font>
    <font>
      <b/>
      <i/>
      <sz val="10"/>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9" tint="0.59999389629810485"/>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ashDot">
        <color indexed="16"/>
      </left>
      <right/>
      <top style="dashDot">
        <color indexed="16"/>
      </top>
      <bottom/>
      <diagonal/>
    </border>
    <border>
      <left/>
      <right/>
      <top style="dashDot">
        <color indexed="16"/>
      </top>
      <bottom/>
      <diagonal/>
    </border>
    <border>
      <left/>
      <right style="dashDot">
        <color indexed="16"/>
      </right>
      <top style="dashDot">
        <color indexed="16"/>
      </top>
      <bottom/>
      <diagonal/>
    </border>
    <border>
      <left style="dashDot">
        <color indexed="16"/>
      </left>
      <right/>
      <top/>
      <bottom/>
      <diagonal/>
    </border>
    <border>
      <left style="dashDot">
        <color indexed="16"/>
      </left>
      <right/>
      <top/>
      <bottom style="dashDot">
        <color indexed="16"/>
      </bottom>
      <diagonal/>
    </border>
    <border>
      <left/>
      <right/>
      <top/>
      <bottom style="dashDot">
        <color indexed="16"/>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54">
    <xf numFmtId="0" fontId="0" fillId="0" borderId="0" xfId="0"/>
    <xf numFmtId="9" fontId="0" fillId="0" borderId="0" xfId="3" applyFont="1"/>
    <xf numFmtId="43" fontId="0" fillId="0" borderId="0" xfId="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0" fillId="0" borderId="0" xfId="0" applyAlignment="1">
      <alignment wrapText="1"/>
    </xf>
    <xf numFmtId="0" fontId="0" fillId="0" borderId="0" xfId="0" applyAlignment="1">
      <alignment horizontal="centerContinuous"/>
    </xf>
    <xf numFmtId="0" fontId="3" fillId="0" borderId="0" xfId="0" applyFont="1"/>
    <xf numFmtId="0" fontId="0" fillId="0" borderId="0" xfId="0" quotePrefix="1"/>
    <xf numFmtId="0" fontId="2" fillId="0" borderId="0" xfId="0" applyFont="1" applyAlignment="1">
      <alignment horizontal="centerContinuous"/>
    </xf>
    <xf numFmtId="43" fontId="3" fillId="0" borderId="0" xfId="0" applyNumberFormat="1" applyFont="1"/>
    <xf numFmtId="9" fontId="3" fillId="0" borderId="0" xfId="0" applyNumberFormat="1" applyFont="1"/>
    <xf numFmtId="9" fontId="3" fillId="0" borderId="0" xfId="3" applyFont="1"/>
    <xf numFmtId="0" fontId="0" fillId="0" borderId="4" xfId="0" applyBorder="1" applyAlignment="1">
      <alignment wrapText="1"/>
    </xf>
    <xf numFmtId="0" fontId="2" fillId="0" borderId="7" xfId="0" applyFont="1" applyBorder="1"/>
    <xf numFmtId="0" fontId="2" fillId="0" borderId="6" xfId="0" applyFont="1" applyBorder="1"/>
    <xf numFmtId="0" fontId="2" fillId="0" borderId="0" xfId="0" applyFont="1" applyAlignment="1">
      <alignment horizontal="left"/>
    </xf>
    <xf numFmtId="0" fontId="2" fillId="2" borderId="7" xfId="0" applyFont="1" applyFill="1" applyBorder="1" applyAlignment="1">
      <alignment horizontal="centerContinuous"/>
    </xf>
    <xf numFmtId="0" fontId="2" fillId="2" borderId="1" xfId="0" applyFont="1" applyFill="1" applyBorder="1" applyAlignment="1">
      <alignment horizontal="centerContinuous"/>
    </xf>
    <xf numFmtId="0" fontId="2" fillId="2" borderId="2" xfId="0" applyFont="1" applyFill="1" applyBorder="1" applyAlignment="1">
      <alignment horizontal="centerContinuous"/>
    </xf>
    <xf numFmtId="0" fontId="2" fillId="2" borderId="5" xfId="0" applyFont="1" applyFill="1" applyBorder="1" applyAlignment="1">
      <alignment horizontal="centerContinuous"/>
    </xf>
    <xf numFmtId="0" fontId="2" fillId="2" borderId="6" xfId="0" applyFont="1" applyFill="1" applyBorder="1" applyAlignment="1">
      <alignment horizontal="centerContinuous"/>
    </xf>
    <xf numFmtId="0" fontId="2" fillId="2" borderId="8" xfId="0" applyFont="1" applyFill="1" applyBorder="1" applyAlignment="1">
      <alignment horizontal="centerContinuous"/>
    </xf>
    <xf numFmtId="0" fontId="3" fillId="0" borderId="0" xfId="0" applyFont="1" applyAlignment="1">
      <alignment horizontal="centerContinuous"/>
    </xf>
    <xf numFmtId="0" fontId="3" fillId="0" borderId="3" xfId="0" applyFont="1" applyBorder="1"/>
    <xf numFmtId="0" fontId="4" fillId="0" borderId="0" xfId="0" applyFont="1" applyAlignment="1">
      <alignment horizontal="center"/>
    </xf>
    <xf numFmtId="165" fontId="2" fillId="0" borderId="0" xfId="1" applyNumberFormat="1" applyFont="1" applyFill="1" applyBorder="1"/>
    <xf numFmtId="165" fontId="5" fillId="0" borderId="0" xfId="1" applyNumberFormat="1" applyFont="1" applyFill="1" applyBorder="1"/>
    <xf numFmtId="0" fontId="6" fillId="0" borderId="0" xfId="0" applyFont="1"/>
    <xf numFmtId="0" fontId="7" fillId="0" borderId="0" xfId="0" applyFont="1"/>
    <xf numFmtId="0" fontId="8"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0" fillId="0" borderId="0" xfId="0" applyAlignment="1">
      <alignment horizontal="left"/>
    </xf>
    <xf numFmtId="166" fontId="0" fillId="0" borderId="4" xfId="0" applyNumberFormat="1" applyBorder="1"/>
    <xf numFmtId="166" fontId="2" fillId="0" borderId="4" xfId="0" applyNumberFormat="1" applyFont="1" applyBorder="1"/>
    <xf numFmtId="165" fontId="0" fillId="0" borderId="0" xfId="1" applyNumberFormat="1" applyFont="1" applyFill="1" applyBorder="1" applyAlignment="1">
      <alignment horizontal="centerContinuous"/>
    </xf>
    <xf numFmtId="165" fontId="3" fillId="0" borderId="0" xfId="1" applyNumberFormat="1" applyFont="1" applyFill="1" applyBorder="1" applyAlignment="1">
      <alignment horizontal="centerContinuous"/>
    </xf>
    <xf numFmtId="165" fontId="10" fillId="0" borderId="9" xfId="0" applyNumberFormat="1" applyFont="1" applyBorder="1" applyAlignment="1">
      <alignment horizontal="center"/>
    </xf>
    <xf numFmtId="0" fontId="2" fillId="0" borderId="0" xfId="0" quotePrefix="1" applyFont="1" applyAlignment="1">
      <alignment horizontal="left"/>
    </xf>
    <xf numFmtId="10" fontId="3" fillId="0" borderId="0" xfId="3" applyNumberFormat="1" applyFont="1" applyBorder="1"/>
    <xf numFmtId="0" fontId="0" fillId="0" borderId="0" xfId="0" quotePrefix="1" applyAlignment="1">
      <alignment horizontal="left"/>
    </xf>
    <xf numFmtId="9" fontId="0" fillId="0" borderId="0" xfId="3" applyFont="1" applyBorder="1"/>
    <xf numFmtId="49" fontId="0" fillId="0" borderId="0" xfId="0" applyNumberFormat="1" applyAlignment="1">
      <alignment horizontal="left"/>
    </xf>
    <xf numFmtId="2" fontId="8" fillId="0" borderId="0" xfId="0" applyNumberFormat="1" applyFont="1"/>
    <xf numFmtId="0" fontId="12" fillId="0" borderId="0" xfId="0" applyFont="1" applyAlignment="1">
      <alignment horizontal="centerContinuous"/>
    </xf>
    <xf numFmtId="0" fontId="5" fillId="0" borderId="0" xfId="0" applyFont="1"/>
    <xf numFmtId="0" fontId="13" fillId="0" borderId="0" xfId="0" applyFont="1" applyAlignment="1">
      <alignment horizontal="center"/>
    </xf>
    <xf numFmtId="0" fontId="4" fillId="0" borderId="0" xfId="0" applyFont="1"/>
    <xf numFmtId="0" fontId="4" fillId="0" borderId="6" xfId="0" applyFont="1" applyBorder="1"/>
    <xf numFmtId="0" fontId="4" fillId="0" borderId="8" xfId="0" applyFont="1" applyBorder="1"/>
    <xf numFmtId="166" fontId="3" fillId="0" borderId="0" xfId="3" applyNumberFormat="1" applyFont="1" applyFill="1" applyBorder="1" applyAlignment="1">
      <alignment horizontal="centerContinuous"/>
    </xf>
    <xf numFmtId="44" fontId="3" fillId="2" borderId="9" xfId="2" applyFont="1" applyFill="1" applyBorder="1" applyAlignment="1">
      <alignment horizontal="centerContinuous"/>
    </xf>
    <xf numFmtId="0" fontId="16" fillId="0" borderId="0" xfId="0" applyFont="1"/>
    <xf numFmtId="0" fontId="12" fillId="0" borderId="3" xfId="0" applyFont="1" applyBorder="1" applyAlignment="1">
      <alignment horizontal="centerContinuous"/>
    </xf>
    <xf numFmtId="0" fontId="7" fillId="0" borderId="0" xfId="0" applyFont="1" applyAlignment="1">
      <alignment horizontal="centerContinuous"/>
    </xf>
    <xf numFmtId="0" fontId="7" fillId="0" borderId="4" xfId="0" applyFont="1" applyBorder="1"/>
    <xf numFmtId="165" fontId="16" fillId="0" borderId="0" xfId="1" applyNumberFormat="1" applyFont="1" applyBorder="1"/>
    <xf numFmtId="0" fontId="14" fillId="0" borderId="0" xfId="0" quotePrefix="1" applyFont="1" applyAlignment="1">
      <alignment horizontal="left"/>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8" fillId="0" borderId="0" xfId="0" quotePrefix="1" applyFont="1" applyAlignment="1">
      <alignment horizontal="left"/>
    </xf>
    <xf numFmtId="0" fontId="16" fillId="0" borderId="0" xfId="0" quotePrefix="1" applyFont="1" applyAlignment="1">
      <alignment horizontal="left"/>
    </xf>
    <xf numFmtId="0" fontId="0" fillId="0" borderId="15" xfId="0" applyBorder="1"/>
    <xf numFmtId="0" fontId="2" fillId="0" borderId="13" xfId="0" applyFont="1" applyBorder="1"/>
    <xf numFmtId="44" fontId="3" fillId="2" borderId="16" xfId="2" applyFont="1" applyFill="1" applyBorder="1" applyAlignment="1">
      <alignment horizontal="centerContinuous"/>
    </xf>
    <xf numFmtId="0" fontId="19" fillId="0" borderId="0" xfId="0" applyFont="1"/>
    <xf numFmtId="0" fontId="1" fillId="0" borderId="0" xfId="0" applyFont="1"/>
    <xf numFmtId="0" fontId="3" fillId="0" borderId="0" xfId="0" quotePrefix="1" applyFont="1" applyAlignment="1">
      <alignment horizontal="left"/>
    </xf>
    <xf numFmtId="44" fontId="3" fillId="2" borderId="17" xfId="2" applyFont="1" applyFill="1" applyBorder="1"/>
    <xf numFmtId="14" fontId="0" fillId="0" borderId="9" xfId="0" applyNumberFormat="1" applyBorder="1" applyAlignment="1">
      <alignment horizontal="center"/>
    </xf>
    <xf numFmtId="0" fontId="2" fillId="0" borderId="0" xfId="0" applyFont="1" applyAlignment="1">
      <alignment wrapText="1"/>
    </xf>
    <xf numFmtId="0" fontId="20" fillId="0" borderId="0" xfId="0" applyFont="1"/>
    <xf numFmtId="168" fontId="3" fillId="3" borderId="9" xfId="3" applyNumberFormat="1" applyFont="1" applyFill="1" applyBorder="1" applyAlignment="1">
      <alignment horizontal="centerContinuous"/>
    </xf>
    <xf numFmtId="168" fontId="3" fillId="2" borderId="9" xfId="0" applyNumberFormat="1" applyFont="1" applyFill="1" applyBorder="1"/>
    <xf numFmtId="8" fontId="3" fillId="2" borderId="9" xfId="2" applyNumberFormat="1" applyFont="1" applyFill="1" applyBorder="1" applyAlignment="1">
      <alignment horizontal="centerContinuous"/>
    </xf>
    <xf numFmtId="8" fontId="3" fillId="3" borderId="9" xfId="1" applyNumberFormat="1" applyFont="1" applyFill="1" applyBorder="1" applyAlignment="1">
      <alignment horizontal="centerContinuous"/>
    </xf>
    <xf numFmtId="168" fontId="3" fillId="2" borderId="9" xfId="3" applyNumberFormat="1" applyFont="1" applyFill="1" applyBorder="1" applyAlignment="1">
      <alignment horizontal="centerContinuous"/>
    </xf>
    <xf numFmtId="8" fontId="3" fillId="2" borderId="18" xfId="2" applyNumberFormat="1" applyFont="1" applyFill="1" applyBorder="1" applyAlignment="1">
      <alignment horizontal="centerContinuous"/>
    </xf>
    <xf numFmtId="168" fontId="2" fillId="2" borderId="16" xfId="3" applyNumberFormat="1" applyFont="1" applyFill="1" applyBorder="1"/>
    <xf numFmtId="8" fontId="3" fillId="2" borderId="19" xfId="2" applyNumberFormat="1" applyFont="1" applyFill="1" applyBorder="1" applyAlignment="1">
      <alignment horizontal="centerContinuous"/>
    </xf>
    <xf numFmtId="168" fontId="3" fillId="2" borderId="19" xfId="3" applyNumberFormat="1" applyFont="1" applyFill="1" applyBorder="1" applyAlignment="1">
      <alignment horizontal="centerContinuous"/>
    </xf>
    <xf numFmtId="0" fontId="2" fillId="0" borderId="0" xfId="0" applyFont="1" applyAlignment="1">
      <alignment horizontal="center"/>
    </xf>
    <xf numFmtId="0" fontId="2" fillId="0" borderId="3" xfId="0" applyFont="1" applyBorder="1"/>
    <xf numFmtId="40" fontId="5" fillId="0" borderId="9" xfId="1" applyNumberFormat="1" applyFont="1" applyBorder="1"/>
    <xf numFmtId="40" fontId="2" fillId="2" borderId="9" xfId="1" applyNumberFormat="1" applyFont="1" applyFill="1" applyBorder="1"/>
    <xf numFmtId="40" fontId="2" fillId="0" borderId="0" xfId="1" applyNumberFormat="1" applyFont="1" applyFill="1" applyBorder="1"/>
    <xf numFmtId="40" fontId="5" fillId="0" borderId="0" xfId="1" applyNumberFormat="1" applyFont="1" applyBorder="1"/>
    <xf numFmtId="40" fontId="5" fillId="2" borderId="17" xfId="1" applyNumberFormat="1" applyFont="1" applyFill="1" applyBorder="1"/>
    <xf numFmtId="40" fontId="2" fillId="2" borderId="20" xfId="1" applyNumberFormat="1" applyFont="1" applyFill="1" applyBorder="1"/>
    <xf numFmtId="40" fontId="2" fillId="0" borderId="21" xfId="1" applyNumberFormat="1" applyFont="1" applyFill="1" applyBorder="1"/>
    <xf numFmtId="40" fontId="6" fillId="0" borderId="21" xfId="1" applyNumberFormat="1" applyFont="1" applyFill="1" applyBorder="1"/>
    <xf numFmtId="40" fontId="2" fillId="2" borderId="17" xfId="1" applyNumberFormat="1" applyFont="1" applyFill="1" applyBorder="1"/>
    <xf numFmtId="168" fontId="3" fillId="0" borderId="9" xfId="3" applyNumberFormat="1" applyFont="1" applyBorder="1"/>
    <xf numFmtId="0" fontId="12" fillId="0" borderId="0" xfId="0" applyFont="1"/>
    <xf numFmtId="8" fontId="3" fillId="2" borderId="17" xfId="2" applyNumberFormat="1" applyFont="1" applyFill="1" applyBorder="1"/>
    <xf numFmtId="167" fontId="3" fillId="0" borderId="9" xfId="3" applyNumberFormat="1" applyFont="1" applyBorder="1"/>
    <xf numFmtId="40" fontId="5" fillId="2" borderId="20" xfId="1" applyNumberFormat="1" applyFont="1" applyFill="1" applyBorder="1"/>
    <xf numFmtId="40" fontId="5" fillId="2" borderId="9" xfId="1" applyNumberFormat="1" applyFont="1" applyFill="1" applyBorder="1"/>
    <xf numFmtId="40" fontId="5" fillId="0" borderId="6" xfId="1" applyNumberFormat="1" applyFont="1" applyFill="1" applyBorder="1"/>
    <xf numFmtId="40" fontId="5" fillId="0" borderId="21" xfId="1" applyNumberFormat="1" applyFont="1" applyFill="1" applyBorder="1"/>
    <xf numFmtId="40" fontId="16" fillId="0" borderId="0" xfId="1" applyNumberFormat="1" applyFont="1" applyBorder="1"/>
    <xf numFmtId="40" fontId="5" fillId="0" borderId="0" xfId="1" applyNumberFormat="1" applyFont="1" applyFill="1" applyBorder="1"/>
    <xf numFmtId="40" fontId="5" fillId="4" borderId="20" xfId="1" applyNumberFormat="1" applyFont="1" applyFill="1" applyBorder="1"/>
    <xf numFmtId="40" fontId="3" fillId="2" borderId="9" xfId="1" applyNumberFormat="1" applyFont="1" applyFill="1" applyBorder="1" applyAlignment="1">
      <alignment horizontal="centerContinuous"/>
    </xf>
    <xf numFmtId="168" fontId="3" fillId="0" borderId="0" xfId="3" applyNumberFormat="1" applyFont="1" applyFill="1" applyBorder="1" applyAlignment="1">
      <alignment horizontal="centerContinuous"/>
    </xf>
    <xf numFmtId="169" fontId="0" fillId="0" borderId="0" xfId="1" applyNumberFormat="1" applyFont="1"/>
    <xf numFmtId="14" fontId="16" fillId="0" borderId="0" xfId="0" applyNumberFormat="1" applyFont="1" applyAlignment="1">
      <alignment horizontal="left"/>
    </xf>
    <xf numFmtId="8" fontId="3" fillId="0" borderId="0" xfId="0" applyNumberFormat="1" applyFont="1"/>
    <xf numFmtId="8" fontId="0" fillId="0" borderId="0" xfId="0" applyNumberFormat="1"/>
    <xf numFmtId="49" fontId="0" fillId="0" borderId="0" xfId="0" quotePrefix="1" applyNumberFormat="1" applyAlignment="1">
      <alignment horizontal="left"/>
    </xf>
    <xf numFmtId="168" fontId="3" fillId="0" borderId="0" xfId="0" applyNumberFormat="1" applyFont="1"/>
    <xf numFmtId="40" fontId="3" fillId="0" borderId="0" xfId="0" applyNumberFormat="1" applyFont="1"/>
    <xf numFmtId="40" fontId="0" fillId="0" borderId="0" xfId="0" applyNumberFormat="1"/>
    <xf numFmtId="8" fontId="3" fillId="0" borderId="0" xfId="0" applyNumberFormat="1" applyFont="1" applyAlignment="1">
      <alignment horizontal="centerContinuous"/>
    </xf>
    <xf numFmtId="8" fontId="0" fillId="0" borderId="0" xfId="0" applyNumberFormat="1" applyAlignment="1">
      <alignment horizontal="centerContinuous"/>
    </xf>
    <xf numFmtId="0" fontId="0" fillId="0" borderId="0" xfId="0" applyAlignment="1">
      <alignment horizontal="center"/>
    </xf>
    <xf numFmtId="0" fontId="2" fillId="0" borderId="0" xfId="0" applyFont="1" applyAlignment="1">
      <alignment vertical="top"/>
    </xf>
    <xf numFmtId="168" fontId="3" fillId="2" borderId="9" xfId="3" applyNumberFormat="1" applyFont="1" applyFill="1" applyBorder="1" applyAlignment="1">
      <alignment horizontal="center"/>
    </xf>
    <xf numFmtId="1" fontId="3" fillId="0" borderId="0" xfId="3" applyNumberFormat="1" applyFont="1" applyFill="1" applyBorder="1" applyAlignment="1">
      <alignment horizontal="center"/>
    </xf>
    <xf numFmtId="1" fontId="0" fillId="0" borderId="0" xfId="3" applyNumberFormat="1" applyFont="1" applyBorder="1" applyAlignment="1">
      <alignment horizontal="center"/>
    </xf>
    <xf numFmtId="0" fontId="3" fillId="0" borderId="3" xfId="0" applyFont="1" applyBorder="1" applyAlignment="1">
      <alignment wrapText="1"/>
    </xf>
    <xf numFmtId="0" fontId="7" fillId="0" borderId="0" xfId="0" quotePrefix="1" applyFont="1" applyAlignment="1">
      <alignment horizontal="left"/>
    </xf>
    <xf numFmtId="0" fontId="5" fillId="0" borderId="0" xfId="0" applyFont="1" applyAlignment="1">
      <alignment horizontal="left"/>
    </xf>
    <xf numFmtId="0" fontId="3" fillId="0" borderId="5" xfId="0" applyFont="1" applyBorder="1" applyAlignment="1">
      <alignment horizontal="centerContinuous"/>
    </xf>
    <xf numFmtId="0" fontId="3" fillId="0" borderId="6" xfId="0" applyFont="1" applyBorder="1" applyAlignment="1">
      <alignment horizontal="centerContinuous"/>
    </xf>
    <xf numFmtId="0" fontId="0" fillId="0" borderId="6" xfId="0" applyBorder="1" applyAlignment="1">
      <alignment horizontal="centerContinuous"/>
    </xf>
    <xf numFmtId="0" fontId="3" fillId="0" borderId="8" xfId="0" applyFont="1" applyBorder="1" applyAlignment="1">
      <alignment horizontal="centerContinuous"/>
    </xf>
    <xf numFmtId="0" fontId="3" fillId="0" borderId="0" xfId="0" applyFont="1" applyAlignment="1">
      <alignment wrapText="1"/>
    </xf>
    <xf numFmtId="0" fontId="3" fillId="0" borderId="4" xfId="0" applyFont="1" applyBorder="1" applyAlignment="1">
      <alignment wrapText="1"/>
    </xf>
    <xf numFmtId="0" fontId="0" fillId="0" borderId="1" xfId="0" applyBorder="1" applyAlignment="1">
      <alignment wrapText="1"/>
    </xf>
    <xf numFmtId="0" fontId="0" fillId="0" borderId="2" xfId="0" applyBorder="1" applyAlignment="1">
      <alignment wrapText="1"/>
    </xf>
    <xf numFmtId="40" fontId="21" fillId="7" borderId="9" xfId="1" applyNumberFormat="1" applyFont="1" applyFill="1" applyBorder="1"/>
    <xf numFmtId="40" fontId="5" fillId="7" borderId="9" xfId="1" applyNumberFormat="1" applyFont="1" applyFill="1" applyBorder="1"/>
    <xf numFmtId="40" fontId="2" fillId="7" borderId="9" xfId="1" applyNumberFormat="1" applyFont="1" applyFill="1" applyBorder="1"/>
    <xf numFmtId="0" fontId="5" fillId="0" borderId="0" xfId="0" quotePrefix="1"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4" fillId="0" borderId="6" xfId="0" applyFont="1" applyBorder="1" applyAlignment="1">
      <alignment horizontal="center"/>
    </xf>
    <xf numFmtId="0" fontId="3" fillId="0" borderId="7" xfId="0" applyFont="1" applyBorder="1" applyAlignment="1">
      <alignment wrapText="1"/>
    </xf>
    <xf numFmtId="0" fontId="2" fillId="0" borderId="0" xfId="0" applyFont="1" applyAlignment="1">
      <alignment vertical="top" wrapText="1"/>
    </xf>
    <xf numFmtId="169" fontId="0" fillId="0" borderId="9" xfId="1" applyNumberFormat="1" applyFont="1" applyBorder="1" applyAlignment="1" applyProtection="1">
      <alignment horizontal="centerContinuous"/>
      <protection locked="0"/>
    </xf>
    <xf numFmtId="40" fontId="0" fillId="0" borderId="9" xfId="1" applyNumberFormat="1" applyFont="1" applyBorder="1" applyAlignment="1" applyProtection="1">
      <alignment horizontal="centerContinuous"/>
      <protection locked="0"/>
    </xf>
    <xf numFmtId="40" fontId="5" fillId="0" borderId="9" xfId="1" applyNumberFormat="1" applyFont="1" applyBorder="1" applyProtection="1">
      <protection locked="0"/>
    </xf>
    <xf numFmtId="40" fontId="2" fillId="0" borderId="9" xfId="1" applyNumberFormat="1" applyFont="1" applyBorder="1" applyProtection="1">
      <protection locked="0"/>
    </xf>
    <xf numFmtId="165" fontId="7" fillId="5" borderId="9" xfId="1" applyNumberFormat="1" applyFont="1" applyFill="1" applyBorder="1" applyProtection="1">
      <protection locked="0"/>
    </xf>
    <xf numFmtId="0" fontId="8" fillId="0" borderId="9" xfId="0" applyFont="1" applyBorder="1" applyAlignment="1" applyProtection="1">
      <alignment horizontal="center"/>
      <protection locked="0"/>
    </xf>
    <xf numFmtId="0" fontId="0" fillId="0" borderId="0" xfId="0" applyProtection="1">
      <protection locked="0"/>
    </xf>
    <xf numFmtId="40" fontId="5" fillId="0" borderId="9" xfId="1" applyNumberFormat="1" applyFont="1" applyFill="1" applyBorder="1" applyProtection="1">
      <protection locked="0"/>
    </xf>
    <xf numFmtId="0" fontId="8" fillId="0" borderId="22"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9" xfId="0" applyBorder="1" applyAlignment="1" applyProtection="1">
      <alignment horizontal="centerContinuous"/>
      <protection locked="0"/>
    </xf>
    <xf numFmtId="0" fontId="0" fillId="0" borderId="17" xfId="0" applyBorder="1" applyProtection="1">
      <protection locked="0"/>
    </xf>
    <xf numFmtId="14" fontId="0" fillId="0" borderId="9" xfId="0" applyNumberFormat="1" applyBorder="1" applyAlignment="1" applyProtection="1">
      <alignment horizontal="center"/>
      <protection locked="0"/>
    </xf>
    <xf numFmtId="0" fontId="0" fillId="0" borderId="0" xfId="0" applyAlignment="1" applyProtection="1">
      <alignment vertical="center" wrapText="1"/>
      <protection locked="0"/>
    </xf>
    <xf numFmtId="14" fontId="2" fillId="0" borderId="6" xfId="0" applyNumberFormat="1" applyFont="1" applyBorder="1" applyAlignment="1">
      <alignment horizontal="center"/>
    </xf>
    <xf numFmtId="168" fontId="0" fillId="0" borderId="21" xfId="3" applyNumberFormat="1" applyFont="1" applyBorder="1" applyProtection="1">
      <protection locked="0"/>
    </xf>
    <xf numFmtId="0" fontId="5" fillId="0" borderId="20" xfId="0" applyFont="1" applyBorder="1"/>
    <xf numFmtId="0" fontId="0" fillId="0" borderId="1" xfId="0" quotePrefix="1" applyBorder="1" applyAlignment="1">
      <alignment horizontal="left"/>
    </xf>
    <xf numFmtId="0" fontId="0" fillId="0" borderId="24" xfId="0" applyBorder="1"/>
    <xf numFmtId="0" fontId="0" fillId="0" borderId="25" xfId="0" applyBorder="1"/>
    <xf numFmtId="0" fontId="2" fillId="0" borderId="1" xfId="0" applyFont="1" applyBorder="1"/>
    <xf numFmtId="0" fontId="5" fillId="0" borderId="0" xfId="0" quotePrefix="1" applyFont="1"/>
    <xf numFmtId="0" fontId="15" fillId="0" borderId="3" xfId="0" applyFont="1" applyBorder="1" applyAlignment="1">
      <alignment horizontal="left" wrapText="1"/>
    </xf>
    <xf numFmtId="0" fontId="15" fillId="0" borderId="0" xfId="0" applyFont="1" applyAlignment="1">
      <alignment horizontal="left" wrapText="1"/>
    </xf>
    <xf numFmtId="0" fontId="15" fillId="0" borderId="4" xfId="0" applyFont="1" applyBorder="1" applyAlignment="1">
      <alignment horizontal="left" wrapText="1"/>
    </xf>
    <xf numFmtId="0" fontId="2" fillId="0" borderId="12" xfId="0" applyFont="1" applyBorder="1"/>
    <xf numFmtId="0" fontId="2" fillId="0" borderId="26" xfId="0" applyFont="1" applyBorder="1"/>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0" fillId="0" borderId="27" xfId="0" applyBorder="1" applyAlignment="1">
      <alignment horizontal="left" vertical="top"/>
    </xf>
    <xf numFmtId="0" fontId="0" fillId="0" borderId="0" xfId="0" applyAlignment="1">
      <alignment horizontal="left" vertical="top"/>
    </xf>
    <xf numFmtId="0" fontId="3" fillId="0" borderId="4" xfId="0" applyFont="1" applyBorder="1"/>
    <xf numFmtId="0" fontId="0" fillId="0" borderId="0" xfId="0" applyAlignment="1">
      <alignment vertical="top"/>
    </xf>
    <xf numFmtId="0" fontId="0" fillId="0" borderId="0" xfId="0" quotePrefix="1" applyAlignment="1">
      <alignment horizontal="left" vertical="top"/>
    </xf>
    <xf numFmtId="0" fontId="8" fillId="0" borderId="17" xfId="0" applyFont="1" applyBorder="1" applyAlignment="1" applyProtection="1">
      <alignment horizontal="center" wrapText="1"/>
      <protection locked="0"/>
    </xf>
    <xf numFmtId="14" fontId="10" fillId="0" borderId="20" xfId="0" applyNumberFormat="1" applyFont="1" applyBorder="1" applyAlignment="1" applyProtection="1">
      <alignment horizontal="center" vertical="top" wrapText="1"/>
      <protection locked="0"/>
    </xf>
    <xf numFmtId="49" fontId="5" fillId="0" borderId="0" xfId="0" quotePrefix="1" applyNumberFormat="1" applyFont="1" applyAlignment="1">
      <alignment horizontal="left"/>
    </xf>
    <xf numFmtId="49" fontId="5" fillId="0" borderId="0" xfId="0" quotePrefix="1" applyNumberFormat="1" applyFont="1" applyAlignment="1">
      <alignment horizontal="left" vertical="top"/>
    </xf>
    <xf numFmtId="0" fontId="0" fillId="0" borderId="30" xfId="0" applyBorder="1"/>
    <xf numFmtId="40" fontId="23" fillId="0" borderId="0" xfId="0" applyNumberFormat="1" applyFont="1"/>
    <xf numFmtId="0" fontId="23" fillId="0" borderId="0" xfId="0" applyFont="1"/>
    <xf numFmtId="0" fontId="2" fillId="0" borderId="0" xfId="0" quotePrefix="1" applyFont="1" applyAlignment="1">
      <alignment horizontal="right"/>
    </xf>
    <xf numFmtId="0" fontId="2" fillId="0" borderId="0" xfId="0" applyFont="1" applyAlignment="1">
      <alignment horizontal="right"/>
    </xf>
    <xf numFmtId="172" fontId="2" fillId="0" borderId="23" xfId="0" applyNumberFormat="1" applyFont="1" applyBorder="1" applyProtection="1">
      <protection locked="0"/>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vertical="center" wrapText="1"/>
      <protection locked="0"/>
    </xf>
    <xf numFmtId="171" fontId="0" fillId="10" borderId="9" xfId="0" applyNumberFormat="1" applyFill="1" applyBorder="1" applyAlignment="1" applyProtection="1">
      <alignment horizontal="centerContinuous"/>
      <protection locked="0"/>
    </xf>
    <xf numFmtId="44" fontId="0" fillId="10" borderId="9" xfId="2" applyFont="1" applyFill="1" applyBorder="1" applyAlignment="1" applyProtection="1">
      <alignment horizontal="centerContinuous"/>
      <protection locked="0"/>
    </xf>
    <xf numFmtId="44" fontId="0" fillId="10" borderId="9" xfId="2" applyFont="1" applyFill="1" applyBorder="1" applyAlignment="1" applyProtection="1">
      <alignment horizontal="center"/>
      <protection locked="0"/>
    </xf>
    <xf numFmtId="168" fontId="0" fillId="10" borderId="9" xfId="3" applyNumberFormat="1" applyFont="1" applyFill="1" applyBorder="1" applyProtection="1">
      <protection locked="0"/>
    </xf>
    <xf numFmtId="171" fontId="0" fillId="0" borderId="9" xfId="0" applyNumberFormat="1" applyBorder="1" applyAlignment="1" applyProtection="1">
      <alignment horizontal="centerContinuous"/>
      <protection locked="0"/>
    </xf>
    <xf numFmtId="0" fontId="0" fillId="0" borderId="17" xfId="0" applyBorder="1" applyAlignment="1" applyProtection="1">
      <alignment horizontal="center"/>
      <protection locked="0"/>
    </xf>
    <xf numFmtId="40" fontId="5" fillId="10" borderId="9" xfId="1" applyNumberFormat="1" applyFont="1" applyFill="1" applyBorder="1" applyProtection="1">
      <protection locked="0"/>
    </xf>
    <xf numFmtId="165" fontId="8" fillId="0" borderId="9" xfId="1" applyNumberFormat="1" applyFont="1" applyFill="1" applyBorder="1" applyProtection="1">
      <protection locked="0"/>
    </xf>
    <xf numFmtId="165" fontId="7" fillId="0" borderId="9" xfId="1" applyNumberFormat="1" applyFont="1" applyFill="1" applyBorder="1" applyProtection="1">
      <protection locked="0"/>
    </xf>
    <xf numFmtId="44" fontId="8" fillId="0" borderId="0" xfId="2" applyFont="1" applyFill="1" applyBorder="1" applyProtection="1">
      <protection locked="0"/>
    </xf>
    <xf numFmtId="40" fontId="5" fillId="0" borderId="9" xfId="1" applyNumberFormat="1" applyFont="1" applyFill="1" applyBorder="1"/>
    <xf numFmtId="44" fontId="8" fillId="10" borderId="9" xfId="2" applyFont="1" applyFill="1" applyBorder="1" applyProtection="1">
      <protection locked="0"/>
    </xf>
    <xf numFmtId="169" fontId="0" fillId="0" borderId="0" xfId="0" applyNumberFormat="1"/>
    <xf numFmtId="172" fontId="2" fillId="10" borderId="23" xfId="0" applyNumberFormat="1" applyFont="1" applyFill="1" applyBorder="1" applyProtection="1">
      <protection locked="0"/>
    </xf>
    <xf numFmtId="0" fontId="2" fillId="2" borderId="31"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5" fillId="0" borderId="31"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13" fillId="0" borderId="17"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5" fillId="0" borderId="27" xfId="0" quotePrefix="1" applyFont="1" applyBorder="1" applyAlignment="1">
      <alignment horizontal="left" wrapText="1"/>
    </xf>
    <xf numFmtId="0" fontId="0" fillId="0" borderId="27" xfId="0" quotePrefix="1" applyBorder="1" applyAlignment="1">
      <alignment horizontal="left" wrapText="1"/>
    </xf>
    <xf numFmtId="0" fontId="0" fillId="0" borderId="28" xfId="0" quotePrefix="1" applyBorder="1" applyAlignment="1">
      <alignment horizontal="left" wrapText="1"/>
    </xf>
    <xf numFmtId="0" fontId="2"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5" fillId="0" borderId="0" xfId="0" quotePrefix="1" applyFont="1" applyAlignment="1">
      <alignment horizontal="left" wrapText="1"/>
    </xf>
    <xf numFmtId="0" fontId="0" fillId="0" borderId="0" xfId="0" quotePrefix="1" applyAlignment="1">
      <alignment horizontal="left" wrapText="1"/>
    </xf>
    <xf numFmtId="0" fontId="0" fillId="0" borderId="4" xfId="0" quotePrefix="1" applyBorder="1" applyAlignment="1">
      <alignment horizontal="left" wrapText="1"/>
    </xf>
    <xf numFmtId="0" fontId="17" fillId="0" borderId="32" xfId="0" quotePrefix="1" applyFont="1" applyBorder="1" applyAlignment="1">
      <alignment horizontal="left" vertical="center" wrapText="1"/>
    </xf>
    <xf numFmtId="0" fontId="17" fillId="0" borderId="33" xfId="0" quotePrefix="1" applyFont="1" applyBorder="1" applyAlignment="1">
      <alignment horizontal="left" vertical="center" wrapText="1"/>
    </xf>
    <xf numFmtId="0" fontId="17" fillId="0" borderId="34" xfId="0" quotePrefix="1" applyFont="1" applyBorder="1" applyAlignment="1">
      <alignment horizontal="left" vertical="center" wrapText="1"/>
    </xf>
    <xf numFmtId="0" fontId="17" fillId="0" borderId="35" xfId="0" quotePrefix="1" applyFont="1" applyBorder="1" applyAlignment="1">
      <alignment horizontal="left" vertical="center" wrapText="1"/>
    </xf>
    <xf numFmtId="0" fontId="17" fillId="0" borderId="0" xfId="0" quotePrefix="1" applyFont="1" applyAlignment="1">
      <alignment horizontal="left" vertical="center" wrapText="1"/>
    </xf>
    <xf numFmtId="0" fontId="17" fillId="0" borderId="36" xfId="0" quotePrefix="1" applyFont="1" applyBorder="1" applyAlignment="1">
      <alignment horizontal="left" vertical="center" wrapText="1"/>
    </xf>
    <xf numFmtId="0" fontId="17" fillId="0" borderId="37" xfId="0" quotePrefix="1" applyFont="1" applyBorder="1" applyAlignment="1">
      <alignment horizontal="left" vertical="center" wrapText="1"/>
    </xf>
    <xf numFmtId="0" fontId="11" fillId="0" borderId="31"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2" fillId="0" borderId="0" xfId="0" applyFont="1" applyAlignment="1">
      <alignment horizontal="left" wrapText="1"/>
    </xf>
    <xf numFmtId="0" fontId="2" fillId="0" borderId="4" xfId="0" applyFont="1" applyBorder="1" applyAlignment="1">
      <alignment horizontal="left" wrapText="1"/>
    </xf>
    <xf numFmtId="0" fontId="0" fillId="0" borderId="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 fillId="0" borderId="4" xfId="0" applyFont="1" applyBorder="1" applyAlignment="1">
      <alignment horizontal="left" vertical="top" wrapText="1"/>
    </xf>
    <xf numFmtId="44" fontId="2" fillId="2" borderId="31" xfId="2" applyFont="1" applyFill="1" applyBorder="1" applyAlignment="1">
      <alignment horizontal="center"/>
    </xf>
    <xf numFmtId="44" fontId="2" fillId="2" borderId="22" xfId="2" applyFont="1" applyFill="1" applyBorder="1" applyAlignment="1">
      <alignment horizontal="center"/>
    </xf>
    <xf numFmtId="0" fontId="2" fillId="0" borderId="0" xfId="0" applyFont="1" applyAlignment="1">
      <alignment wrapText="1"/>
    </xf>
    <xf numFmtId="0" fontId="8" fillId="0" borderId="17" xfId="0" quotePrefix="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2" fillId="0" borderId="0" xfId="0" applyFont="1" applyAlignment="1">
      <alignment vertical="center" wrapText="1"/>
    </xf>
    <xf numFmtId="0" fontId="2" fillId="0" borderId="6" xfId="0" applyFont="1" applyBorder="1" applyAlignment="1">
      <alignment vertical="center" wrapText="1"/>
    </xf>
    <xf numFmtId="0" fontId="8" fillId="0" borderId="7" xfId="0" applyFont="1" applyBorder="1" applyAlignment="1" applyProtection="1">
      <alignment horizontal="left" vertical="center" wrapText="1"/>
      <protection locked="0"/>
    </xf>
    <xf numFmtId="0" fontId="11" fillId="0" borderId="31" xfId="0" quotePrefix="1" applyFont="1" applyBorder="1" applyAlignment="1" applyProtection="1">
      <alignment horizontal="center"/>
      <protection locked="0"/>
    </xf>
    <xf numFmtId="0" fontId="11" fillId="0" borderId="21" xfId="0" quotePrefix="1" applyFont="1" applyBorder="1" applyAlignment="1" applyProtection="1">
      <alignment horizontal="center"/>
      <protection locked="0"/>
    </xf>
    <xf numFmtId="0" fontId="11" fillId="0" borderId="22" xfId="0" quotePrefix="1" applyFont="1" applyBorder="1" applyAlignment="1" applyProtection="1">
      <alignment horizontal="center"/>
      <protection locked="0"/>
    </xf>
    <xf numFmtId="0" fontId="2" fillId="0" borderId="7" xfId="0" applyFont="1" applyBorder="1" applyAlignment="1" applyProtection="1">
      <alignment horizontal="left" vertical="center" wrapText="1"/>
      <protection locked="0"/>
    </xf>
    <xf numFmtId="0" fontId="0" fillId="0" borderId="7" xfId="0" quotePrefix="1" applyBorder="1" applyAlignment="1" applyProtection="1">
      <alignment horizontal="left" vertical="center" wrapText="1"/>
      <protection locked="0"/>
    </xf>
    <xf numFmtId="0" fontId="0" fillId="0" borderId="1" xfId="0" quotePrefix="1" applyBorder="1" applyAlignment="1" applyProtection="1">
      <alignment horizontal="left" vertical="center" wrapText="1"/>
      <protection locked="0"/>
    </xf>
    <xf numFmtId="0" fontId="0" fillId="0" borderId="2" xfId="0" quotePrefix="1" applyBorder="1" applyAlignment="1" applyProtection="1">
      <alignment horizontal="left" vertical="center" wrapText="1"/>
      <protection locked="0"/>
    </xf>
    <xf numFmtId="0" fontId="0" fillId="0" borderId="3" xfId="0" quotePrefix="1" applyBorder="1" applyAlignment="1" applyProtection="1">
      <alignment horizontal="left" vertical="center" wrapText="1"/>
      <protection locked="0"/>
    </xf>
    <xf numFmtId="0" fontId="0" fillId="0" borderId="0" xfId="0" quotePrefix="1" applyAlignment="1" applyProtection="1">
      <alignment horizontal="left" vertical="center" wrapText="1"/>
      <protection locked="0"/>
    </xf>
    <xf numFmtId="0" fontId="0" fillId="0" borderId="4" xfId="0" quotePrefix="1" applyBorder="1" applyAlignment="1" applyProtection="1">
      <alignment horizontal="left" vertical="center" wrapText="1"/>
      <protection locked="0"/>
    </xf>
    <xf numFmtId="0" fontId="0" fillId="0" borderId="5" xfId="0" quotePrefix="1" applyBorder="1" applyAlignment="1" applyProtection="1">
      <alignment horizontal="left" vertical="center" wrapText="1"/>
      <protection locked="0"/>
    </xf>
    <xf numFmtId="0" fontId="0" fillId="0" borderId="6" xfId="0" quotePrefix="1" applyBorder="1" applyAlignment="1" applyProtection="1">
      <alignment horizontal="left" vertical="center" wrapText="1"/>
      <protection locked="0"/>
    </xf>
    <xf numFmtId="0" fontId="0" fillId="0" borderId="8" xfId="0" quotePrefix="1" applyBorder="1" applyAlignment="1" applyProtection="1">
      <alignment horizontal="left" vertical="center" wrapText="1"/>
      <protection locked="0"/>
    </xf>
    <xf numFmtId="0" fontId="16" fillId="0" borderId="0" xfId="0" quotePrefix="1" applyFont="1" applyAlignment="1">
      <alignment horizontal="left"/>
    </xf>
    <xf numFmtId="0" fontId="16" fillId="0" borderId="4" xfId="0" quotePrefix="1" applyFont="1" applyBorder="1" applyAlignment="1">
      <alignment horizontal="left"/>
    </xf>
    <xf numFmtId="0" fontId="2" fillId="0" borderId="0" xfId="0" applyFont="1"/>
    <xf numFmtId="0" fontId="2" fillId="0" borderId="15" xfId="0" quotePrefix="1" applyFont="1" applyBorder="1" applyAlignment="1">
      <alignment horizontal="left" vertical="top" wrapText="1"/>
    </xf>
    <xf numFmtId="0" fontId="2" fillId="0" borderId="10" xfId="0" quotePrefix="1" applyFont="1" applyBorder="1" applyAlignment="1">
      <alignment horizontal="left" vertical="top" wrapText="1"/>
    </xf>
    <xf numFmtId="0" fontId="2" fillId="0" borderId="11" xfId="0" quotePrefix="1" applyFont="1" applyBorder="1" applyAlignment="1">
      <alignment horizontal="left" vertical="top" wrapText="1"/>
    </xf>
    <xf numFmtId="0" fontId="2" fillId="0" borderId="12" xfId="0" quotePrefix="1" applyFont="1" applyBorder="1" applyAlignment="1">
      <alignment horizontal="left" vertical="top" wrapText="1"/>
    </xf>
    <xf numFmtId="0" fontId="2" fillId="0" borderId="0" xfId="0" quotePrefix="1" applyFont="1" applyAlignment="1">
      <alignment horizontal="left" vertical="top" wrapText="1"/>
    </xf>
    <xf numFmtId="0" fontId="2" fillId="0" borderId="13" xfId="0" quotePrefix="1" applyFont="1" applyBorder="1" applyAlignment="1">
      <alignment horizontal="left" vertical="top" wrapText="1"/>
    </xf>
    <xf numFmtId="0" fontId="2" fillId="0" borderId="0" xfId="0" applyFont="1" applyAlignment="1">
      <alignment horizontal="left" vertical="center" wrapText="1"/>
    </xf>
    <xf numFmtId="0" fontId="0" fillId="0" borderId="6" xfId="0" applyBorder="1" applyAlignment="1">
      <alignment horizontal="left" vertical="center" wrapText="1"/>
    </xf>
    <xf numFmtId="14" fontId="2" fillId="0" borderId="17" xfId="0" applyNumberFormat="1" applyFont="1" applyBorder="1" applyAlignment="1">
      <alignment horizontal="center" vertical="center"/>
    </xf>
    <xf numFmtId="14" fontId="2" fillId="0" borderId="30" xfId="0" applyNumberFormat="1" applyFont="1" applyBorder="1" applyAlignment="1">
      <alignment horizontal="center" vertical="center"/>
    </xf>
    <xf numFmtId="14" fontId="2" fillId="0" borderId="20" xfId="0" applyNumberFormat="1" applyFont="1" applyBorder="1" applyAlignment="1">
      <alignment horizontal="center" vertical="center"/>
    </xf>
    <xf numFmtId="0" fontId="8" fillId="0" borderId="6" xfId="0" applyFont="1" applyBorder="1" applyAlignment="1">
      <alignment horizontal="left" vertical="center" wrapText="1"/>
    </xf>
    <xf numFmtId="0" fontId="5" fillId="0" borderId="24"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2" fillId="0" borderId="6" xfId="0" applyFont="1" applyBorder="1" applyAlignment="1">
      <alignment horizontal="left" vertical="center" wrapText="1"/>
    </xf>
    <xf numFmtId="9" fontId="2" fillId="0" borderId="31" xfId="0" applyNumberFormat="1" applyFont="1" applyBorder="1" applyAlignment="1" applyProtection="1">
      <alignment horizontal="right"/>
      <protection locked="0"/>
    </xf>
    <xf numFmtId="9" fontId="2" fillId="0" borderId="22" xfId="0" applyNumberFormat="1" applyFont="1" applyBorder="1" applyAlignment="1" applyProtection="1">
      <alignment horizontal="right"/>
      <protection locked="0"/>
    </xf>
    <xf numFmtId="170" fontId="0" fillId="0" borderId="6" xfId="0" applyNumberFormat="1" applyBorder="1" applyAlignment="1" applyProtection="1">
      <alignment horizontal="center"/>
      <protection locked="0"/>
    </xf>
    <xf numFmtId="170" fontId="0" fillId="0" borderId="38" xfId="0" applyNumberFormat="1" applyBorder="1" applyAlignment="1" applyProtection="1">
      <alignment horizontal="center"/>
      <protection locked="0"/>
    </xf>
    <xf numFmtId="0" fontId="2" fillId="0" borderId="3" xfId="0" quotePrefix="1" applyFont="1" applyBorder="1" applyAlignment="1">
      <alignment horizontal="lef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2" fillId="0" borderId="7" xfId="0" quotePrefix="1"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44" fontId="0" fillId="2" borderId="31" xfId="2" applyFont="1" applyFill="1" applyBorder="1" applyAlignment="1">
      <alignment horizontal="center"/>
    </xf>
    <xf numFmtId="44" fontId="0" fillId="2" borderId="22" xfId="2" applyFont="1" applyFill="1" applyBorder="1" applyAlignment="1">
      <alignment horizontal="center"/>
    </xf>
    <xf numFmtId="0" fontId="2" fillId="0" borderId="27" xfId="0" quotePrefix="1" applyFont="1" applyBorder="1" applyAlignment="1">
      <alignment horizontal="left" wrapText="1"/>
    </xf>
    <xf numFmtId="0" fontId="2" fillId="0" borderId="28" xfId="0" quotePrefix="1" applyFont="1" applyBorder="1" applyAlignment="1">
      <alignment horizontal="left" wrapText="1"/>
    </xf>
    <xf numFmtId="0" fontId="16" fillId="0" borderId="0" xfId="0" quotePrefix="1" applyFont="1" applyAlignment="1">
      <alignment horizontal="left" wrapText="1"/>
    </xf>
    <xf numFmtId="0" fontId="0" fillId="10" borderId="7" xfId="0" applyFill="1" applyBorder="1" applyAlignment="1" applyProtection="1">
      <alignment horizontal="left" vertical="center" wrapText="1"/>
      <protection locked="0"/>
    </xf>
    <xf numFmtId="0" fontId="0" fillId="10" borderId="1" xfId="0" applyFill="1" applyBorder="1" applyAlignment="1" applyProtection="1">
      <alignment horizontal="left" vertical="center" wrapText="1"/>
      <protection locked="0"/>
    </xf>
    <xf numFmtId="0" fontId="0" fillId="10" borderId="2" xfId="0" applyFill="1" applyBorder="1" applyAlignment="1" applyProtection="1">
      <alignment horizontal="left" vertical="center" wrapText="1"/>
      <protection locked="0"/>
    </xf>
    <xf numFmtId="0" fontId="0" fillId="10" borderId="3" xfId="0" applyFill="1" applyBorder="1" applyAlignment="1" applyProtection="1">
      <alignment horizontal="left" vertical="center" wrapText="1"/>
      <protection locked="0"/>
    </xf>
    <xf numFmtId="0" fontId="0" fillId="10" borderId="0" xfId="0" applyFill="1" applyAlignment="1" applyProtection="1">
      <alignment horizontal="lef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0" fillId="10" borderId="6" xfId="0" applyFill="1" applyBorder="1" applyAlignment="1" applyProtection="1">
      <alignment horizontal="left" vertical="center" wrapText="1"/>
      <protection locked="0"/>
    </xf>
    <xf numFmtId="0" fontId="0" fillId="10" borderId="8" xfId="0" applyFill="1" applyBorder="1" applyAlignment="1" applyProtection="1">
      <alignment horizontal="left" vertical="center" wrapText="1"/>
      <protection locked="0"/>
    </xf>
    <xf numFmtId="0" fontId="5" fillId="0" borderId="0" xfId="0" applyFont="1" applyAlignment="1">
      <alignment horizontal="left" vertical="top" wrapText="1"/>
    </xf>
    <xf numFmtId="0" fontId="16" fillId="0" borderId="4" xfId="0" quotePrefix="1" applyFont="1" applyBorder="1" applyAlignment="1">
      <alignment horizontal="left" wrapText="1"/>
    </xf>
    <xf numFmtId="0" fontId="0" fillId="0" borderId="3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5" fillId="10" borderId="31" xfId="0" applyFont="1" applyFill="1" applyBorder="1" applyAlignment="1" applyProtection="1">
      <alignment horizontal="left"/>
      <protection locked="0"/>
    </xf>
    <xf numFmtId="0" fontId="0" fillId="10" borderId="21" xfId="0" applyFill="1" applyBorder="1" applyAlignment="1" applyProtection="1">
      <alignment horizontal="left"/>
      <protection locked="0"/>
    </xf>
    <xf numFmtId="0" fontId="0" fillId="10" borderId="22" xfId="0" applyFill="1" applyBorder="1" applyAlignment="1" applyProtection="1">
      <alignment horizontal="left"/>
      <protection locked="0"/>
    </xf>
    <xf numFmtId="0" fontId="2" fillId="0" borderId="7"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wrapText="1"/>
    </xf>
    <xf numFmtId="0" fontId="0" fillId="0" borderId="4" xfId="0" applyBorder="1" applyAlignment="1">
      <alignment wrapText="1"/>
    </xf>
    <xf numFmtId="0" fontId="16" fillId="0" borderId="3" xfId="0" quotePrefix="1" applyFont="1" applyBorder="1" applyAlignment="1">
      <alignment horizontal="left" wrapText="1"/>
    </xf>
    <xf numFmtId="0" fontId="16" fillId="0" borderId="0" xfId="0" applyFont="1" applyAlignment="1">
      <alignment wrapText="1"/>
    </xf>
    <xf numFmtId="0" fontId="16" fillId="0" borderId="4" xfId="0" applyFont="1" applyBorder="1" applyAlignment="1">
      <alignment wrapText="1"/>
    </xf>
    <xf numFmtId="0" fontId="16" fillId="0" borderId="3" xfId="0" applyFont="1" applyBorder="1" applyAlignment="1">
      <alignment wrapText="1"/>
    </xf>
    <xf numFmtId="0" fontId="2" fillId="0" borderId="6" xfId="0" applyFont="1" applyBorder="1" applyAlignment="1">
      <alignment horizontal="left" wrapText="1"/>
    </xf>
    <xf numFmtId="0" fontId="0" fillId="0" borderId="0" xfId="0"/>
    <xf numFmtId="0" fontId="5" fillId="0" borderId="7" xfId="0" applyFont="1" applyBorder="1" applyAlignment="1" applyProtection="1">
      <alignment horizontal="left" vertical="center" wrapText="1"/>
      <protection locked="0"/>
    </xf>
    <xf numFmtId="0" fontId="5" fillId="0" borderId="7" xfId="0" applyFont="1" applyBorder="1" applyAlignment="1" applyProtection="1">
      <alignment vertical="center" wrapText="1"/>
      <protection locked="0"/>
    </xf>
    <xf numFmtId="0" fontId="2" fillId="2" borderId="9" xfId="0" applyFont="1" applyFill="1" applyBorder="1" applyAlignment="1">
      <alignment horizontal="center"/>
    </xf>
    <xf numFmtId="0" fontId="7" fillId="0" borderId="0" xfId="0" quotePrefix="1" applyFont="1" applyAlignment="1">
      <alignment horizontal="left" vertical="center" wrapText="1"/>
    </xf>
    <xf numFmtId="0" fontId="22" fillId="0" borderId="0" xfId="0" quotePrefix="1" applyFont="1" applyAlignment="1">
      <alignment horizontal="left" vertical="center" wrapText="1"/>
    </xf>
    <xf numFmtId="0" fontId="22" fillId="0" borderId="4" xfId="0" quotePrefix="1" applyFont="1" applyBorder="1" applyAlignment="1">
      <alignment horizontal="left" vertical="center" wrapText="1"/>
    </xf>
    <xf numFmtId="0" fontId="2" fillId="0" borderId="0" xfId="0" quotePrefix="1" applyFont="1" applyAlignment="1">
      <alignment horizontal="left" wrapText="1"/>
    </xf>
    <xf numFmtId="0" fontId="0" fillId="0" borderId="6" xfId="0" applyBorder="1" applyAlignment="1">
      <alignment horizontal="left" wrapText="1"/>
    </xf>
    <xf numFmtId="170" fontId="0" fillId="0" borderId="5" xfId="0" applyNumberFormat="1" applyBorder="1" applyAlignment="1">
      <alignment horizontal="center"/>
    </xf>
    <xf numFmtId="170" fontId="0" fillId="0" borderId="6" xfId="0" applyNumberFormat="1" applyBorder="1" applyAlignment="1">
      <alignment horizontal="center"/>
    </xf>
    <xf numFmtId="0" fontId="2" fillId="0" borderId="5" xfId="0" applyFont="1" applyBorder="1"/>
    <xf numFmtId="0" fontId="2" fillId="0" borderId="6" xfId="0" applyFont="1" applyBorder="1"/>
    <xf numFmtId="0" fontId="3" fillId="0" borderId="6" xfId="0" applyFont="1" applyBorder="1"/>
    <xf numFmtId="0" fontId="3" fillId="0" borderId="8" xfId="0" applyFont="1" applyBorder="1"/>
    <xf numFmtId="0" fontId="2" fillId="0" borderId="15"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3" fillId="0" borderId="1" xfId="0" applyFont="1" applyBorder="1" applyAlignment="1">
      <alignment horizontal="center"/>
    </xf>
    <xf numFmtId="0" fontId="3" fillId="0" borderId="25" xfId="0" applyFont="1" applyBorder="1" applyAlignment="1">
      <alignment horizontal="center"/>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41" xfId="0" applyFont="1" applyBorder="1" applyAlignment="1">
      <alignment horizontal="center" vertical="top"/>
    </xf>
    <xf numFmtId="0" fontId="3" fillId="0" borderId="24" xfId="0" applyFont="1" applyBorder="1" applyAlignment="1">
      <alignment horizontal="center"/>
    </xf>
    <xf numFmtId="0" fontId="3" fillId="0" borderId="3" xfId="0" applyFont="1" applyBorder="1"/>
    <xf numFmtId="0" fontId="3" fillId="0" borderId="0" xfId="0" applyFont="1"/>
    <xf numFmtId="0" fontId="3" fillId="0" borderId="4" xfId="0" applyFont="1" applyBorder="1"/>
    <xf numFmtId="14" fontId="2" fillId="8" borderId="6" xfId="0" applyNumberFormat="1" applyFont="1" applyFill="1" applyBorder="1" applyAlignment="1">
      <alignment horizontal="center"/>
    </xf>
    <xf numFmtId="0" fontId="2" fillId="8" borderId="6" xfId="0" applyFont="1" applyFill="1" applyBorder="1" applyAlignment="1">
      <alignment horizontal="center"/>
    </xf>
    <xf numFmtId="0" fontId="3" fillId="0" borderId="3"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167" fontId="3" fillId="2" borderId="31" xfId="3" applyNumberFormat="1" applyFont="1" applyFill="1" applyBorder="1" applyAlignment="1">
      <alignment horizontal="center"/>
    </xf>
    <xf numFmtId="167" fontId="0" fillId="0" borderId="22" xfId="3" applyNumberFormat="1" applyFont="1" applyBorder="1" applyAlignment="1">
      <alignment horizontal="center"/>
    </xf>
    <xf numFmtId="169" fontId="3" fillId="2" borderId="31" xfId="2" applyNumberFormat="1" applyFont="1" applyFill="1" applyBorder="1" applyAlignment="1">
      <alignment horizontal="center"/>
    </xf>
    <xf numFmtId="169" fontId="0" fillId="0" borderId="22" xfId="0" applyNumberFormat="1" applyBorder="1" applyAlignment="1">
      <alignment horizontal="center"/>
    </xf>
    <xf numFmtId="8" fontId="3" fillId="2" borderId="31" xfId="2" applyNumberFormat="1" applyFont="1" applyFill="1" applyBorder="1" applyAlignment="1">
      <alignment horizontal="center"/>
    </xf>
    <xf numFmtId="8" fontId="0" fillId="0" borderId="22" xfId="0" applyNumberFormat="1" applyBorder="1" applyAlignment="1">
      <alignment horizontal="center"/>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168" fontId="3" fillId="2" borderId="31" xfId="2" applyNumberFormat="1" applyFont="1" applyFill="1" applyBorder="1" applyAlignment="1">
      <alignment horizontal="center"/>
    </xf>
    <xf numFmtId="168" fontId="0" fillId="0" borderId="22" xfId="0" applyNumberFormat="1" applyBorder="1" applyAlignment="1">
      <alignment horizontal="center"/>
    </xf>
    <xf numFmtId="8" fontId="3" fillId="0" borderId="22" xfId="0" applyNumberFormat="1" applyFont="1" applyBorder="1" applyAlignment="1">
      <alignment horizontal="center"/>
    </xf>
    <xf numFmtId="1" fontId="3" fillId="2" borderId="31" xfId="3" applyNumberFormat="1" applyFont="1" applyFill="1" applyBorder="1" applyAlignment="1">
      <alignment horizontal="center"/>
    </xf>
    <xf numFmtId="1" fontId="0" fillId="0" borderId="22" xfId="3" applyNumberFormat="1" applyFont="1" applyBorder="1" applyAlignment="1">
      <alignment horizontal="center"/>
    </xf>
    <xf numFmtId="166" fontId="3" fillId="2" borderId="31" xfId="3" applyNumberFormat="1" applyFont="1" applyFill="1" applyBorder="1" applyAlignment="1">
      <alignment horizontal="center"/>
    </xf>
    <xf numFmtId="0" fontId="0" fillId="0" borderId="22" xfId="0" applyBorder="1" applyAlignment="1">
      <alignment horizontal="center"/>
    </xf>
    <xf numFmtId="0" fontId="5" fillId="0" borderId="0" xfId="0" applyFont="1" applyAlignment="1">
      <alignment horizontal="left" wrapText="1"/>
    </xf>
    <xf numFmtId="0" fontId="0" fillId="0" borderId="0" xfId="0" applyAlignment="1">
      <alignment horizontal="left" wrapText="1"/>
    </xf>
    <xf numFmtId="169" fontId="0" fillId="0" borderId="22" xfId="2" applyNumberFormat="1" applyFont="1" applyBorder="1" applyAlignment="1">
      <alignment horizontal="center"/>
    </xf>
    <xf numFmtId="9" fontId="3" fillId="2" borderId="31" xfId="3" applyFont="1" applyFill="1" applyBorder="1" applyAlignment="1">
      <alignment horizontal="center"/>
    </xf>
    <xf numFmtId="9" fontId="0" fillId="0" borderId="22" xfId="3" applyFont="1" applyBorder="1" applyAlignment="1">
      <alignment horizontal="center"/>
    </xf>
    <xf numFmtId="0" fontId="0" fillId="0" borderId="4" xfId="0" applyBorder="1" applyAlignment="1">
      <alignment horizontal="left" wrapText="1"/>
    </xf>
    <xf numFmtId="0" fontId="2" fillId="0" borderId="1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7" xfId="0" applyFont="1" applyBorder="1" applyAlignment="1">
      <alignment horizontal="center"/>
    </xf>
    <xf numFmtId="0" fontId="2" fillId="0" borderId="42" xfId="0" applyFont="1" applyBorder="1" applyAlignment="1">
      <alignment horizontal="center"/>
    </xf>
    <xf numFmtId="0" fontId="3" fillId="2" borderId="31" xfId="0" applyFont="1" applyFill="1" applyBorder="1" applyAlignment="1">
      <alignment horizontal="center"/>
    </xf>
    <xf numFmtId="0" fontId="0" fillId="0" borderId="21" xfId="0" applyBorder="1" applyAlignment="1">
      <alignment horizontal="center"/>
    </xf>
    <xf numFmtId="164" fontId="3" fillId="2" borderId="31" xfId="0" applyNumberFormat="1" applyFont="1" applyFill="1" applyBorder="1" applyAlignment="1">
      <alignment horizontal="center"/>
    </xf>
    <xf numFmtId="164" fontId="3" fillId="2" borderId="22" xfId="0" applyNumberFormat="1" applyFont="1" applyFill="1" applyBorder="1" applyAlignment="1">
      <alignment horizontal="center"/>
    </xf>
    <xf numFmtId="164" fontId="3" fillId="2" borderId="9" xfId="0" applyNumberFormat="1" applyFont="1" applyFill="1" applyBorder="1" applyAlignment="1">
      <alignment horizontal="center"/>
    </xf>
    <xf numFmtId="0" fontId="0" fillId="0" borderId="9" xfId="0" applyBorder="1" applyAlignment="1">
      <alignment horizontal="center"/>
    </xf>
    <xf numFmtId="10" fontId="3" fillId="2" borderId="31" xfId="3" applyNumberFormat="1" applyFont="1" applyFill="1" applyBorder="1" applyAlignment="1">
      <alignment horizontal="center"/>
    </xf>
    <xf numFmtId="10" fontId="0" fillId="0" borderId="22" xfId="3" applyNumberFormat="1" applyFont="1" applyBorder="1" applyAlignment="1">
      <alignment horizontal="center"/>
    </xf>
    <xf numFmtId="0" fontId="3" fillId="9" borderId="9" xfId="0" applyFont="1" applyFill="1" applyBorder="1" applyAlignment="1">
      <alignment horizontal="center"/>
    </xf>
    <xf numFmtId="43" fontId="3" fillId="2" borderId="31" xfId="1" applyFont="1" applyFill="1" applyBorder="1" applyAlignment="1"/>
    <xf numFmtId="43" fontId="0" fillId="0" borderId="22" xfId="1" applyFont="1" applyBorder="1" applyAlignment="1"/>
    <xf numFmtId="0" fontId="10" fillId="0" borderId="5" xfId="0" applyFont="1" applyBorder="1" applyAlignment="1">
      <alignment horizontal="center"/>
    </xf>
    <xf numFmtId="0" fontId="10" fillId="0" borderId="6" xfId="0"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 xfId="0" applyFont="1" applyBorder="1" applyAlignment="1">
      <alignment horizontal="center"/>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3" fillId="0" borderId="7" xfId="0" applyFont="1" applyBorder="1" applyAlignment="1">
      <alignment horizontal="center"/>
    </xf>
    <xf numFmtId="0" fontId="3" fillId="0" borderId="3" xfId="0" quotePrefix="1" applyFont="1" applyBorder="1" applyAlignment="1">
      <alignment horizontal="left" vertical="center" wrapText="1"/>
    </xf>
    <xf numFmtId="0" fontId="3" fillId="0" borderId="0" xfId="0" quotePrefix="1" applyFont="1" applyAlignment="1">
      <alignment horizontal="left" vertical="center" wrapText="1"/>
    </xf>
    <xf numFmtId="0" fontId="3" fillId="0" borderId="4"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3" fillId="0" borderId="8" xfId="0" quotePrefix="1" applyFont="1" applyBorder="1" applyAlignment="1">
      <alignment horizontal="left" vertical="center" wrapText="1"/>
    </xf>
    <xf numFmtId="0" fontId="15" fillId="6" borderId="3" xfId="0" applyFont="1" applyFill="1" applyBorder="1" applyAlignment="1">
      <alignment horizontal="left" vertical="top" wrapText="1"/>
    </xf>
    <xf numFmtId="0" fontId="15" fillId="6" borderId="0" xfId="0" applyFont="1" applyFill="1" applyAlignment="1">
      <alignment horizontal="left" vertical="top" wrapText="1"/>
    </xf>
    <xf numFmtId="0" fontId="15" fillId="6" borderId="4" xfId="0" applyFont="1" applyFill="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407"/>
  <sheetViews>
    <sheetView showGridLines="0" tabSelected="1" zoomScaleNormal="100" zoomScalePageLayoutView="150" workbookViewId="0">
      <selection activeCell="I324" sqref="I324"/>
    </sheetView>
  </sheetViews>
  <sheetFormatPr defaultRowHeight="13" x14ac:dyDescent="0.3"/>
  <cols>
    <col min="1" max="1" width="10.26953125" style="9" customWidth="1"/>
    <col min="3" max="3" width="5.26953125" customWidth="1"/>
    <col min="4" max="4" width="9.453125" customWidth="1"/>
    <col min="5" max="5" width="17.54296875" customWidth="1"/>
    <col min="6" max="6" width="16.54296875" customWidth="1"/>
    <col min="7" max="7" width="16.26953125" customWidth="1"/>
    <col min="8" max="8" width="20.54296875" customWidth="1"/>
    <col min="9" max="9" width="14.54296875" customWidth="1"/>
  </cols>
  <sheetData>
    <row r="1" spans="1:8" ht="12.5" x14ac:dyDescent="0.25">
      <c r="A1" s="316" t="s">
        <v>266</v>
      </c>
      <c r="B1" s="317"/>
      <c r="C1" s="317"/>
      <c r="D1" s="317"/>
      <c r="E1" s="317"/>
      <c r="F1" s="317"/>
      <c r="G1" s="317"/>
      <c r="H1" s="318"/>
    </row>
    <row r="2" spans="1:8" ht="12.5" x14ac:dyDescent="0.25">
      <c r="A2" s="312"/>
      <c r="B2" s="265"/>
      <c r="C2" s="265"/>
      <c r="D2" s="265"/>
      <c r="E2" s="265"/>
      <c r="F2" s="265"/>
      <c r="G2" s="265"/>
      <c r="H2" s="311"/>
    </row>
    <row r="3" spans="1:8" ht="12.5" x14ac:dyDescent="0.25">
      <c r="A3" s="312"/>
      <c r="B3" s="265"/>
      <c r="C3" s="265"/>
      <c r="D3" s="265"/>
      <c r="E3" s="265"/>
      <c r="F3" s="265"/>
      <c r="G3" s="265"/>
      <c r="H3" s="311"/>
    </row>
    <row r="4" spans="1:8" ht="3" customHeight="1" x14ac:dyDescent="0.25">
      <c r="A4" s="319"/>
      <c r="B4" s="266"/>
      <c r="C4" s="266"/>
      <c r="D4" s="266"/>
      <c r="E4" s="266"/>
      <c r="F4" s="266"/>
      <c r="G4" s="266"/>
      <c r="H4" s="320"/>
    </row>
    <row r="5" spans="1:8" ht="6" customHeight="1" x14ac:dyDescent="0.3">
      <c r="A5" s="80"/>
      <c r="B5" s="10"/>
      <c r="C5" s="10"/>
      <c r="D5" s="10"/>
      <c r="E5" s="10"/>
      <c r="F5" s="10"/>
      <c r="G5" s="10"/>
      <c r="H5" s="10"/>
    </row>
    <row r="6" spans="1:8" x14ac:dyDescent="0.3">
      <c r="A6" s="14" t="s">
        <v>43</v>
      </c>
      <c r="B6" s="11"/>
      <c r="C6" s="11"/>
      <c r="D6" s="11"/>
      <c r="E6" s="11"/>
      <c r="F6" s="11"/>
      <c r="G6" s="11"/>
      <c r="H6" s="11"/>
    </row>
    <row r="7" spans="1:8" x14ac:dyDescent="0.3">
      <c r="A7" s="14"/>
      <c r="B7" s="11"/>
      <c r="C7" s="11"/>
      <c r="D7" s="11"/>
      <c r="E7" s="11"/>
      <c r="F7" s="11"/>
      <c r="G7" s="11"/>
      <c r="H7" s="11"/>
    </row>
    <row r="8" spans="1:8" x14ac:dyDescent="0.3">
      <c r="A8" s="9" t="s">
        <v>44</v>
      </c>
      <c r="C8" s="337" t="s">
        <v>304</v>
      </c>
      <c r="D8" s="338"/>
      <c r="E8" s="338"/>
      <c r="F8" s="339"/>
      <c r="G8" t="s">
        <v>45</v>
      </c>
      <c r="H8" s="11"/>
    </row>
    <row r="9" spans="1:8" x14ac:dyDescent="0.3">
      <c r="C9" s="11"/>
      <c r="D9" s="11"/>
      <c r="E9" s="11"/>
      <c r="F9" s="11"/>
      <c r="G9" s="11"/>
      <c r="H9" s="11"/>
    </row>
    <row r="10" spans="1:8" x14ac:dyDescent="0.3">
      <c r="A10" s="9" t="s">
        <v>46</v>
      </c>
      <c r="C10" s="337" t="s">
        <v>299</v>
      </c>
      <c r="D10" s="338"/>
      <c r="E10" s="338"/>
      <c r="F10" s="339"/>
      <c r="G10" t="s">
        <v>125</v>
      </c>
      <c r="H10" s="11"/>
    </row>
    <row r="11" spans="1:8" x14ac:dyDescent="0.3">
      <c r="C11" s="11"/>
      <c r="D11" s="11"/>
      <c r="E11" s="11"/>
      <c r="F11" s="11"/>
      <c r="G11" s="11"/>
      <c r="H11" s="11"/>
    </row>
    <row r="12" spans="1:8" x14ac:dyDescent="0.3">
      <c r="A12" s="9" t="s">
        <v>107</v>
      </c>
      <c r="G12" s="116" t="s">
        <v>108</v>
      </c>
      <c r="H12" s="162">
        <v>45203</v>
      </c>
    </row>
    <row r="13" spans="1:8" x14ac:dyDescent="0.3">
      <c r="A13" s="9" t="s">
        <v>163</v>
      </c>
      <c r="G13" s="189"/>
      <c r="H13" s="79">
        <f>IFERROR(H12+45,"")</f>
        <v>45248</v>
      </c>
    </row>
    <row r="14" spans="1:8" x14ac:dyDescent="0.3">
      <c r="A14" s="9" t="s">
        <v>296</v>
      </c>
      <c r="G14" s="116" t="s">
        <v>108</v>
      </c>
      <c r="H14" s="162">
        <v>45291</v>
      </c>
    </row>
    <row r="15" spans="1:8" x14ac:dyDescent="0.3">
      <c r="A15" s="211" t="s">
        <v>47</v>
      </c>
      <c r="B15" s="212"/>
      <c r="C15" s="212"/>
      <c r="D15" s="212"/>
      <c r="E15" s="212"/>
      <c r="F15" s="212"/>
      <c r="G15" s="212"/>
      <c r="H15" s="213"/>
    </row>
    <row r="16" spans="1:8" ht="3" customHeight="1" x14ac:dyDescent="0.3"/>
    <row r="17" spans="1:8" x14ac:dyDescent="0.3">
      <c r="A17" s="9" t="s">
        <v>48</v>
      </c>
      <c r="B17" s="9" t="s">
        <v>49</v>
      </c>
    </row>
    <row r="18" spans="1:8" x14ac:dyDescent="0.3">
      <c r="B18" s="81" t="s">
        <v>264</v>
      </c>
    </row>
    <row r="19" spans="1:8" x14ac:dyDescent="0.3">
      <c r="B19" t="s">
        <v>63</v>
      </c>
    </row>
    <row r="20" spans="1:8" x14ac:dyDescent="0.3">
      <c r="B20" t="s">
        <v>53</v>
      </c>
    </row>
    <row r="21" spans="1:8" x14ac:dyDescent="0.3">
      <c r="B21" s="12" t="s">
        <v>265</v>
      </c>
      <c r="H21" s="125" t="s">
        <v>102</v>
      </c>
    </row>
    <row r="22" spans="1:8" x14ac:dyDescent="0.3">
      <c r="B22" t="s">
        <v>50</v>
      </c>
      <c r="D22" s="340"/>
      <c r="E22" s="341"/>
      <c r="F22" s="342"/>
      <c r="G22" s="39" t="s">
        <v>54</v>
      </c>
      <c r="H22" s="197"/>
    </row>
    <row r="23" spans="1:8" ht="6.75" customHeight="1" x14ac:dyDescent="0.3">
      <c r="G23" t="s">
        <v>54</v>
      </c>
    </row>
    <row r="24" spans="1:8" x14ac:dyDescent="0.3">
      <c r="B24" s="52" t="s">
        <v>209</v>
      </c>
      <c r="D24" s="214" t="s">
        <v>300</v>
      </c>
      <c r="E24" s="215"/>
      <c r="F24" s="216"/>
      <c r="G24" s="39"/>
      <c r="H24" s="201">
        <v>790</v>
      </c>
    </row>
    <row r="25" spans="1:8" ht="6.75" customHeight="1" x14ac:dyDescent="0.3"/>
    <row r="26" spans="1:8" x14ac:dyDescent="0.3">
      <c r="A26" s="9" t="s">
        <v>27</v>
      </c>
      <c r="B26" s="9" t="s">
        <v>28</v>
      </c>
    </row>
    <row r="27" spans="1:8" x14ac:dyDescent="0.3">
      <c r="B27" t="s">
        <v>109</v>
      </c>
      <c r="G27" t="s">
        <v>111</v>
      </c>
      <c r="H27" s="162">
        <v>45108</v>
      </c>
    </row>
    <row r="28" spans="1:8" x14ac:dyDescent="0.3">
      <c r="B28" t="s">
        <v>110</v>
      </c>
      <c r="G28" t="s">
        <v>112</v>
      </c>
      <c r="H28" s="162">
        <v>45473</v>
      </c>
    </row>
    <row r="29" spans="1:8" ht="6" customHeight="1" x14ac:dyDescent="0.3"/>
    <row r="30" spans="1:8" x14ac:dyDescent="0.3">
      <c r="B30" t="s">
        <v>26</v>
      </c>
    </row>
    <row r="31" spans="1:8" x14ac:dyDescent="0.3">
      <c r="E31" s="193" t="s">
        <v>51</v>
      </c>
      <c r="F31" s="159" t="s">
        <v>309</v>
      </c>
      <c r="G31" s="159"/>
      <c r="H31" s="160"/>
    </row>
    <row r="32" spans="1:8" x14ac:dyDescent="0.3">
      <c r="E32" s="192" t="s">
        <v>210</v>
      </c>
      <c r="F32" s="202" t="s">
        <v>305</v>
      </c>
      <c r="G32" s="161"/>
      <c r="H32" s="161"/>
    </row>
    <row r="33" spans="1:8" x14ac:dyDescent="0.3">
      <c r="B33" s="281" t="s">
        <v>222</v>
      </c>
      <c r="C33" s="281"/>
      <c r="D33" s="282"/>
      <c r="E33" s="272" t="s">
        <v>306</v>
      </c>
      <c r="F33" s="273"/>
      <c r="G33" s="273"/>
      <c r="H33" s="274"/>
    </row>
    <row r="34" spans="1:8" x14ac:dyDescent="0.3">
      <c r="B34" s="47"/>
      <c r="E34" s="275"/>
      <c r="F34" s="276"/>
      <c r="G34" s="276"/>
      <c r="H34" s="277"/>
    </row>
    <row r="35" spans="1:8" x14ac:dyDescent="0.3">
      <c r="B35" s="47"/>
      <c r="E35" s="278"/>
      <c r="F35" s="279"/>
      <c r="G35" s="279"/>
      <c r="H35" s="280"/>
    </row>
    <row r="36" spans="1:8" x14ac:dyDescent="0.3">
      <c r="A36" s="211" t="s">
        <v>52</v>
      </c>
      <c r="B36" s="212"/>
      <c r="C36" s="212"/>
      <c r="D36" s="212"/>
      <c r="E36" s="212"/>
      <c r="F36" s="212"/>
      <c r="G36" s="212"/>
      <c r="H36" s="213"/>
    </row>
    <row r="37" spans="1:8" ht="7.5" customHeight="1" x14ac:dyDescent="0.3"/>
    <row r="38" spans="1:8" x14ac:dyDescent="0.3">
      <c r="A38" s="9" t="s">
        <v>5</v>
      </c>
      <c r="B38" s="9" t="s">
        <v>131</v>
      </c>
    </row>
    <row r="39" spans="1:8" x14ac:dyDescent="0.3">
      <c r="B39" s="144" t="s">
        <v>267</v>
      </c>
    </row>
    <row r="40" spans="1:8" ht="5.25" customHeight="1" x14ac:dyDescent="0.3"/>
    <row r="41" spans="1:8" x14ac:dyDescent="0.3">
      <c r="B41" s="52" t="s">
        <v>268</v>
      </c>
    </row>
    <row r="42" spans="1:8" x14ac:dyDescent="0.3">
      <c r="B42" s="59" t="s">
        <v>136</v>
      </c>
      <c r="H42" s="198"/>
    </row>
    <row r="43" spans="1:8" ht="6.75" customHeight="1" x14ac:dyDescent="0.3"/>
    <row r="44" spans="1:8" x14ac:dyDescent="0.3">
      <c r="B44" s="52" t="s">
        <v>269</v>
      </c>
    </row>
    <row r="45" spans="1:8" ht="26.25" customHeight="1" x14ac:dyDescent="0.3">
      <c r="B45" s="325" t="s">
        <v>137</v>
      </c>
      <c r="C45" s="325"/>
      <c r="D45" s="325"/>
      <c r="E45" s="325"/>
      <c r="F45" s="325"/>
      <c r="G45" s="336"/>
      <c r="H45" s="199"/>
    </row>
    <row r="46" spans="1:8" ht="3.75" customHeight="1" x14ac:dyDescent="0.3"/>
    <row r="47" spans="1:8" x14ac:dyDescent="0.3">
      <c r="C47" t="s">
        <v>126</v>
      </c>
      <c r="H47" s="85">
        <f>+H45-H42</f>
        <v>0</v>
      </c>
    </row>
    <row r="48" spans="1:8" x14ac:dyDescent="0.3">
      <c r="C48" t="s">
        <v>127</v>
      </c>
      <c r="H48" s="82" t="e">
        <f>+H47/H42</f>
        <v>#DIV/0!</v>
      </c>
    </row>
    <row r="49" spans="2:8" ht="8.25" customHeight="1" x14ac:dyDescent="0.3"/>
    <row r="50" spans="2:8" x14ac:dyDescent="0.3">
      <c r="B50" s="19" t="s">
        <v>270</v>
      </c>
      <c r="C50" s="3"/>
      <c r="D50" s="3"/>
      <c r="E50" s="3"/>
      <c r="F50" s="3"/>
      <c r="G50" s="3"/>
      <c r="H50" s="4"/>
    </row>
    <row r="51" spans="2:8" x14ac:dyDescent="0.3">
      <c r="B51" s="5" t="s">
        <v>12</v>
      </c>
      <c r="H51" s="6"/>
    </row>
    <row r="52" spans="2:8" ht="6.75" customHeight="1" x14ac:dyDescent="0.3">
      <c r="B52" s="5"/>
      <c r="H52" s="6"/>
    </row>
    <row r="53" spans="2:8" x14ac:dyDescent="0.3">
      <c r="B53" s="5"/>
      <c r="C53" s="75" t="s">
        <v>128</v>
      </c>
      <c r="H53" s="6"/>
    </row>
    <row r="54" spans="2:8" x14ac:dyDescent="0.3">
      <c r="B54" s="5"/>
      <c r="C54" t="s">
        <v>129</v>
      </c>
      <c r="G54" s="200"/>
      <c r="H54" s="6" t="s">
        <v>3</v>
      </c>
    </row>
    <row r="55" spans="2:8" ht="5.25" customHeight="1" x14ac:dyDescent="0.3">
      <c r="B55" s="5"/>
      <c r="G55" s="165"/>
      <c r="H55" s="6"/>
    </row>
    <row r="56" spans="2:8" ht="26.25" customHeight="1" x14ac:dyDescent="0.3">
      <c r="B56" s="5"/>
      <c r="C56" s="226" t="s">
        <v>220</v>
      </c>
      <c r="D56" s="227"/>
      <c r="E56" s="227"/>
      <c r="F56" s="228"/>
      <c r="G56" s="200"/>
      <c r="H56" s="6" t="s">
        <v>3</v>
      </c>
    </row>
    <row r="57" spans="2:8" ht="7.5" customHeight="1" x14ac:dyDescent="0.3">
      <c r="B57" s="5"/>
      <c r="G57" s="156"/>
      <c r="H57" s="40"/>
    </row>
    <row r="58" spans="2:8" x14ac:dyDescent="0.3">
      <c r="B58" s="5"/>
      <c r="C58" s="75" t="s">
        <v>13</v>
      </c>
      <c r="G58" s="156"/>
      <c r="H58" s="40"/>
    </row>
    <row r="59" spans="2:8" x14ac:dyDescent="0.3">
      <c r="B59" s="5"/>
      <c r="C59" s="52" t="s">
        <v>290</v>
      </c>
      <c r="G59" s="200"/>
      <c r="H59" s="6" t="s">
        <v>3</v>
      </c>
    </row>
    <row r="60" spans="2:8" ht="8.25" customHeight="1" x14ac:dyDescent="0.3">
      <c r="B60" s="5"/>
      <c r="H60" s="40"/>
    </row>
    <row r="61" spans="2:8" x14ac:dyDescent="0.3">
      <c r="B61" s="5"/>
      <c r="C61" s="9" t="s">
        <v>130</v>
      </c>
      <c r="D61" s="9"/>
      <c r="E61" s="9"/>
      <c r="F61" s="9"/>
      <c r="H61" s="41"/>
    </row>
    <row r="62" spans="2:8" x14ac:dyDescent="0.3">
      <c r="B62" s="7"/>
      <c r="C62" s="20" t="s">
        <v>14</v>
      </c>
      <c r="D62" s="20"/>
      <c r="E62" s="20"/>
      <c r="F62" s="20"/>
      <c r="G62" s="83">
        <f>+G54+G59+G56</f>
        <v>0</v>
      </c>
      <c r="H62" s="166" t="s">
        <v>3</v>
      </c>
    </row>
    <row r="63" spans="2:8" ht="7.5" customHeight="1" thickBot="1" x14ac:dyDescent="0.35">
      <c r="C63" s="9"/>
      <c r="D63" s="9"/>
      <c r="E63" s="9"/>
      <c r="F63" s="9"/>
      <c r="G63" s="120"/>
      <c r="H63" s="9"/>
    </row>
    <row r="64" spans="2:8" ht="13.5" thickBot="1" x14ac:dyDescent="0.35">
      <c r="B64" s="9" t="s">
        <v>271</v>
      </c>
      <c r="C64" s="9"/>
      <c r="D64" s="9"/>
      <c r="E64" s="9"/>
      <c r="F64" s="9"/>
      <c r="G64" s="120"/>
      <c r="H64" s="210"/>
    </row>
    <row r="65" spans="1:8" ht="13.5" thickBot="1" x14ac:dyDescent="0.35">
      <c r="B65" s="9" t="s">
        <v>272</v>
      </c>
      <c r="C65" s="9"/>
      <c r="D65" s="9"/>
      <c r="E65" s="9"/>
      <c r="F65" s="9"/>
      <c r="G65" s="120"/>
      <c r="H65" s="194">
        <v>189</v>
      </c>
    </row>
    <row r="66" spans="1:8" ht="13.5" customHeight="1" thickBot="1" x14ac:dyDescent="0.35">
      <c r="B66" s="9" t="s">
        <v>219</v>
      </c>
      <c r="H66" s="194">
        <v>180</v>
      </c>
    </row>
    <row r="67" spans="1:8" ht="25.5" customHeight="1" x14ac:dyDescent="0.3">
      <c r="A67" s="9" t="s">
        <v>4</v>
      </c>
      <c r="B67" s="9" t="s">
        <v>190</v>
      </c>
    </row>
    <row r="68" spans="1:8" x14ac:dyDescent="0.3">
      <c r="B68" t="s">
        <v>132</v>
      </c>
    </row>
    <row r="69" spans="1:8" ht="7.5" customHeight="1" x14ac:dyDescent="0.3"/>
    <row r="70" spans="1:8" x14ac:dyDescent="0.3">
      <c r="B70" s="144" t="s">
        <v>224</v>
      </c>
    </row>
    <row r="71" spans="1:8" x14ac:dyDescent="0.3">
      <c r="B71" t="s">
        <v>15</v>
      </c>
    </row>
    <row r="72" spans="1:8" ht="6.75" customHeight="1" x14ac:dyDescent="0.3"/>
    <row r="73" spans="1:8" x14ac:dyDescent="0.3">
      <c r="B73" t="s">
        <v>133</v>
      </c>
    </row>
    <row r="74" spans="1:8" x14ac:dyDescent="0.3">
      <c r="C74" t="s">
        <v>6</v>
      </c>
      <c r="H74" s="198"/>
    </row>
    <row r="75" spans="1:8" x14ac:dyDescent="0.3">
      <c r="C75" t="s">
        <v>7</v>
      </c>
      <c r="H75" s="199"/>
    </row>
    <row r="76" spans="1:8" x14ac:dyDescent="0.3">
      <c r="C76" t="s">
        <v>134</v>
      </c>
      <c r="H76" s="58">
        <f>+H75-H74</f>
        <v>0</v>
      </c>
    </row>
    <row r="77" spans="1:8" x14ac:dyDescent="0.3">
      <c r="C77" t="s">
        <v>135</v>
      </c>
      <c r="H77" s="86" t="e">
        <f>+H76/H74</f>
        <v>#DIV/0!</v>
      </c>
    </row>
    <row r="78" spans="1:8" ht="6.75" customHeight="1" x14ac:dyDescent="0.3"/>
    <row r="79" spans="1:8" x14ac:dyDescent="0.3">
      <c r="B79" s="144" t="s">
        <v>225</v>
      </c>
    </row>
    <row r="80" spans="1:8" x14ac:dyDescent="0.3">
      <c r="B80" t="s">
        <v>138</v>
      </c>
    </row>
    <row r="81" spans="1:8" x14ac:dyDescent="0.3">
      <c r="C81" s="52" t="s">
        <v>6</v>
      </c>
      <c r="H81" s="198"/>
    </row>
    <row r="82" spans="1:8" x14ac:dyDescent="0.3">
      <c r="C82" t="s">
        <v>7</v>
      </c>
      <c r="H82" s="198"/>
    </row>
    <row r="83" spans="1:8" x14ac:dyDescent="0.3">
      <c r="C83" t="s">
        <v>134</v>
      </c>
      <c r="H83" s="84">
        <f>SUM(H82-H81)</f>
        <v>0</v>
      </c>
    </row>
    <row r="84" spans="1:8" x14ac:dyDescent="0.3">
      <c r="C84" t="s">
        <v>135</v>
      </c>
      <c r="H84" s="86" t="e">
        <f>+H83/H81</f>
        <v>#DIV/0!</v>
      </c>
    </row>
    <row r="85" spans="1:8" ht="8.25" customHeight="1" thickBot="1" x14ac:dyDescent="0.35"/>
    <row r="86" spans="1:8" x14ac:dyDescent="0.3">
      <c r="B86" s="284" t="s">
        <v>273</v>
      </c>
      <c r="C86" s="285"/>
      <c r="D86" s="285"/>
      <c r="E86" s="285"/>
      <c r="F86" s="285"/>
      <c r="G86" s="285"/>
      <c r="H86" s="286"/>
    </row>
    <row r="87" spans="1:8" ht="15.75" customHeight="1" x14ac:dyDescent="0.3">
      <c r="B87" s="287"/>
      <c r="C87" s="288"/>
      <c r="D87" s="288"/>
      <c r="E87" s="288"/>
      <c r="F87" s="288"/>
      <c r="G87" s="288"/>
      <c r="H87" s="289"/>
    </row>
    <row r="88" spans="1:8" x14ac:dyDescent="0.3">
      <c r="B88" s="296" t="s">
        <v>301</v>
      </c>
      <c r="C88" s="297"/>
      <c r="D88" s="297"/>
      <c r="E88" s="297"/>
      <c r="F88" s="297"/>
      <c r="G88" s="297"/>
      <c r="H88" s="298"/>
    </row>
    <row r="89" spans="1:8" x14ac:dyDescent="0.3">
      <c r="B89" s="299"/>
      <c r="C89" s="300"/>
      <c r="D89" s="300"/>
      <c r="E89" s="300"/>
      <c r="F89" s="300"/>
      <c r="G89" s="300"/>
      <c r="H89" s="301"/>
    </row>
    <row r="90" spans="1:8" ht="30" customHeight="1" x14ac:dyDescent="0.3">
      <c r="B90" s="302"/>
      <c r="C90" s="303"/>
      <c r="D90" s="303"/>
      <c r="E90" s="303"/>
      <c r="F90" s="303"/>
      <c r="G90" s="303"/>
      <c r="H90" s="304"/>
    </row>
    <row r="91" spans="1:8" x14ac:dyDescent="0.3">
      <c r="B91" s="168"/>
      <c r="C91" s="167" t="s">
        <v>116</v>
      </c>
      <c r="D91" s="3"/>
      <c r="E91" s="3"/>
      <c r="F91" s="3"/>
      <c r="G91" s="198"/>
      <c r="H91" s="169"/>
    </row>
    <row r="92" spans="1:8" x14ac:dyDescent="0.3">
      <c r="B92" s="67"/>
      <c r="C92" s="47" t="s">
        <v>117</v>
      </c>
      <c r="G92" s="198"/>
      <c r="H92" s="68"/>
    </row>
    <row r="93" spans="1:8" ht="27.75" customHeight="1" thickBot="1" x14ac:dyDescent="0.35">
      <c r="B93" s="69"/>
      <c r="C93" s="219" t="s">
        <v>221</v>
      </c>
      <c r="D93" s="220"/>
      <c r="E93" s="220"/>
      <c r="F93" s="221"/>
      <c r="G93" s="87">
        <f>SUM(G92-G91)</f>
        <v>0</v>
      </c>
      <c r="H93" s="88" t="e">
        <f>SUM(G92-G91)/G91</f>
        <v>#DIV/0!</v>
      </c>
    </row>
    <row r="95" spans="1:8" x14ac:dyDescent="0.3">
      <c r="A95" s="22" t="s">
        <v>139</v>
      </c>
      <c r="B95" s="23"/>
      <c r="C95" s="23"/>
      <c r="D95" s="23"/>
      <c r="E95" s="23"/>
      <c r="F95" s="23"/>
      <c r="G95" s="23"/>
      <c r="H95" s="24"/>
    </row>
    <row r="96" spans="1:8" x14ac:dyDescent="0.3">
      <c r="A96" s="25" t="s">
        <v>119</v>
      </c>
      <c r="B96" s="26"/>
      <c r="C96" s="26"/>
      <c r="D96" s="26"/>
      <c r="E96" s="26"/>
      <c r="F96" s="26"/>
      <c r="G96" s="26"/>
      <c r="H96" s="27"/>
    </row>
    <row r="98" spans="1:8" x14ac:dyDescent="0.3">
      <c r="A98" s="9" t="s">
        <v>56</v>
      </c>
      <c r="B98" s="283" t="s">
        <v>223</v>
      </c>
      <c r="C98" s="283"/>
      <c r="D98" s="283"/>
      <c r="E98" s="283"/>
      <c r="F98" s="283"/>
      <c r="G98" s="283"/>
      <c r="H98" s="283"/>
    </row>
    <row r="99" spans="1:8" x14ac:dyDescent="0.3">
      <c r="B99" t="s">
        <v>140</v>
      </c>
    </row>
    <row r="100" spans="1:8" x14ac:dyDescent="0.3">
      <c r="B100" s="144" t="s">
        <v>226</v>
      </c>
    </row>
    <row r="102" spans="1:8" x14ac:dyDescent="0.3">
      <c r="C102" t="s">
        <v>9</v>
      </c>
      <c r="G102" s="58">
        <f>+H42</f>
        <v>0</v>
      </c>
      <c r="H102" s="42" t="s">
        <v>54</v>
      </c>
    </row>
    <row r="103" spans="1:8" x14ac:dyDescent="0.3">
      <c r="C103" t="s">
        <v>10</v>
      </c>
      <c r="G103" s="58">
        <f>+H74+H81</f>
        <v>0</v>
      </c>
      <c r="H103" s="43" t="s">
        <v>54</v>
      </c>
    </row>
    <row r="104" spans="1:8" x14ac:dyDescent="0.3">
      <c r="D104" t="s">
        <v>11</v>
      </c>
      <c r="H104" s="58">
        <f>+G102+G103</f>
        <v>0</v>
      </c>
    </row>
    <row r="105" spans="1:8" ht="7.5" customHeight="1" x14ac:dyDescent="0.3"/>
    <row r="106" spans="1:8" x14ac:dyDescent="0.3">
      <c r="B106" t="s">
        <v>141</v>
      </c>
    </row>
    <row r="107" spans="1:8" x14ac:dyDescent="0.3">
      <c r="B107" s="325" t="s">
        <v>227</v>
      </c>
      <c r="C107" s="325"/>
      <c r="D107" s="325"/>
      <c r="E107" s="325"/>
      <c r="F107" s="325"/>
      <c r="G107" s="325"/>
      <c r="H107" s="325"/>
    </row>
    <row r="108" spans="1:8" ht="6" customHeight="1" x14ac:dyDescent="0.3"/>
    <row r="109" spans="1:8" x14ac:dyDescent="0.3">
      <c r="C109" t="s">
        <v>9</v>
      </c>
      <c r="G109" s="58">
        <f>+H45</f>
        <v>0</v>
      </c>
      <c r="H109" s="42" t="s">
        <v>54</v>
      </c>
    </row>
    <row r="110" spans="1:8" x14ac:dyDescent="0.3">
      <c r="C110" t="s">
        <v>10</v>
      </c>
      <c r="G110" s="58">
        <f>+H75+H82</f>
        <v>0</v>
      </c>
      <c r="H110" s="43" t="s">
        <v>54</v>
      </c>
    </row>
    <row r="111" spans="1:8" x14ac:dyDescent="0.3">
      <c r="D111" t="s">
        <v>11</v>
      </c>
      <c r="H111" s="58">
        <f>+G109+G110</f>
        <v>0</v>
      </c>
    </row>
    <row r="112" spans="1:8" ht="9" customHeight="1" thickBot="1" x14ac:dyDescent="0.35"/>
    <row r="113" spans="1:8" ht="5.25" customHeight="1" x14ac:dyDescent="0.3">
      <c r="B113" s="72"/>
      <c r="C113" s="65"/>
      <c r="D113" s="65"/>
      <c r="E113" s="65"/>
      <c r="F113" s="65"/>
      <c r="G113" s="65"/>
      <c r="H113" s="66"/>
    </row>
    <row r="114" spans="1:8" x14ac:dyDescent="0.3">
      <c r="B114" s="67"/>
      <c r="C114" s="9" t="s">
        <v>142</v>
      </c>
      <c r="D114" s="9"/>
      <c r="E114" s="9"/>
      <c r="F114" s="9"/>
      <c r="H114" s="89">
        <f>+H111-H104</f>
        <v>0</v>
      </c>
    </row>
    <row r="115" spans="1:8" ht="13.5" customHeight="1" x14ac:dyDescent="0.3">
      <c r="B115" s="67"/>
      <c r="C115" s="70" t="s">
        <v>121</v>
      </c>
      <c r="D115" s="9"/>
      <c r="E115" s="9"/>
      <c r="F115" s="9"/>
      <c r="H115" s="73"/>
    </row>
    <row r="116" spans="1:8" x14ac:dyDescent="0.3">
      <c r="B116" s="67"/>
      <c r="C116" s="9" t="s">
        <v>143</v>
      </c>
      <c r="D116" s="9"/>
      <c r="E116" s="9"/>
      <c r="F116" s="9"/>
      <c r="H116" s="90" t="e">
        <f>+H114/H104</f>
        <v>#DIV/0!</v>
      </c>
    </row>
    <row r="117" spans="1:8" ht="9" customHeight="1" x14ac:dyDescent="0.3">
      <c r="B117" s="67"/>
      <c r="C117" s="9"/>
      <c r="D117" s="9"/>
      <c r="E117" s="9"/>
      <c r="F117" s="9"/>
      <c r="H117" s="73"/>
    </row>
    <row r="118" spans="1:8" ht="29.25" customHeight="1" thickBot="1" x14ac:dyDescent="0.35">
      <c r="B118" s="69"/>
      <c r="C118" s="323" t="s">
        <v>191</v>
      </c>
      <c r="D118" s="323"/>
      <c r="E118" s="323"/>
      <c r="F118" s="323"/>
      <c r="G118" s="324"/>
      <c r="H118" s="74" t="e">
        <f>SUM(G102*0.01)*(H74/H42)+(G102*0.01)</f>
        <v>#DIV/0!</v>
      </c>
    </row>
    <row r="119" spans="1:8" x14ac:dyDescent="0.3">
      <c r="A119" s="211" t="s">
        <v>55</v>
      </c>
      <c r="B119" s="212"/>
      <c r="C119" s="212"/>
      <c r="D119" s="212"/>
      <c r="E119" s="212"/>
      <c r="F119" s="212"/>
      <c r="G119" s="212"/>
      <c r="H119" s="213"/>
    </row>
    <row r="120" spans="1:8" ht="9" customHeight="1" x14ac:dyDescent="0.3"/>
    <row r="121" spans="1:8" x14ac:dyDescent="0.3">
      <c r="A121" s="9" t="s">
        <v>8</v>
      </c>
      <c r="B121" s="335" t="s">
        <v>229</v>
      </c>
      <c r="C121" s="335"/>
      <c r="D121" s="335"/>
      <c r="E121" s="335"/>
      <c r="F121" s="335"/>
      <c r="G121" s="335"/>
      <c r="H121" s="335"/>
    </row>
    <row r="122" spans="1:8" x14ac:dyDescent="0.3">
      <c r="B122" s="335"/>
      <c r="C122" s="335"/>
      <c r="D122" s="335"/>
      <c r="E122" s="335"/>
      <c r="F122" s="335"/>
      <c r="G122" s="335"/>
      <c r="H122" s="335"/>
    </row>
    <row r="123" spans="1:8" ht="9.75" customHeight="1" x14ac:dyDescent="0.3">
      <c r="B123" s="144"/>
    </row>
    <row r="124" spans="1:8" s="10" customFormat="1" ht="27.75" customHeight="1" x14ac:dyDescent="0.3">
      <c r="A124" s="80"/>
      <c r="B124" s="305" t="s">
        <v>274</v>
      </c>
      <c r="C124" s="305"/>
      <c r="D124" s="305"/>
      <c r="E124" s="305"/>
      <c r="F124" s="305"/>
      <c r="G124" s="305"/>
      <c r="H124" s="305"/>
    </row>
    <row r="125" spans="1:8" x14ac:dyDescent="0.3">
      <c r="B125" s="241" t="s">
        <v>307</v>
      </c>
      <c r="C125" s="242"/>
      <c r="D125" s="242"/>
      <c r="E125" s="242"/>
      <c r="F125" s="242"/>
      <c r="G125" s="242"/>
      <c r="H125" s="243"/>
    </row>
    <row r="126" spans="1:8" x14ac:dyDescent="0.3">
      <c r="B126" s="244"/>
      <c r="C126" s="245"/>
      <c r="D126" s="245"/>
      <c r="E126" s="245"/>
      <c r="F126" s="245"/>
      <c r="G126" s="245"/>
      <c r="H126" s="246"/>
    </row>
    <row r="127" spans="1:8" x14ac:dyDescent="0.3">
      <c r="B127" s="244"/>
      <c r="C127" s="245"/>
      <c r="D127" s="245"/>
      <c r="E127" s="245"/>
      <c r="F127" s="245"/>
      <c r="G127" s="245"/>
      <c r="H127" s="246"/>
    </row>
    <row r="128" spans="1:8" x14ac:dyDescent="0.3">
      <c r="B128" s="244"/>
      <c r="C128" s="245"/>
      <c r="D128" s="245"/>
      <c r="E128" s="245"/>
      <c r="F128" s="245"/>
      <c r="G128" s="245"/>
      <c r="H128" s="246"/>
    </row>
    <row r="129" spans="2:8" x14ac:dyDescent="0.3">
      <c r="B129" s="244"/>
      <c r="C129" s="245"/>
      <c r="D129" s="245"/>
      <c r="E129" s="245"/>
      <c r="F129" s="245"/>
      <c r="G129" s="245"/>
      <c r="H129" s="246"/>
    </row>
    <row r="130" spans="2:8" x14ac:dyDescent="0.3">
      <c r="B130" s="247"/>
      <c r="C130" s="248"/>
      <c r="D130" s="248"/>
      <c r="E130" s="248"/>
      <c r="F130" s="248"/>
      <c r="G130" s="248"/>
      <c r="H130" s="249"/>
    </row>
    <row r="131" spans="2:8" ht="9" customHeight="1" x14ac:dyDescent="0.3"/>
    <row r="132" spans="2:8" ht="26.25" customHeight="1" x14ac:dyDescent="0.3">
      <c r="B132" s="305" t="s">
        <v>228</v>
      </c>
      <c r="C132" s="305"/>
      <c r="D132" s="305"/>
      <c r="E132" s="305"/>
      <c r="F132" s="305"/>
      <c r="G132" s="305"/>
      <c r="H132" s="305"/>
    </row>
    <row r="133" spans="2:8" x14ac:dyDescent="0.3">
      <c r="B133" s="326"/>
      <c r="C133" s="327"/>
      <c r="D133" s="327"/>
      <c r="E133" s="327"/>
      <c r="F133" s="327"/>
      <c r="G133" s="327"/>
      <c r="H133" s="328"/>
    </row>
    <row r="134" spans="2:8" x14ac:dyDescent="0.3">
      <c r="B134" s="329"/>
      <c r="C134" s="330"/>
      <c r="D134" s="330"/>
      <c r="E134" s="330"/>
      <c r="F134" s="330"/>
      <c r="G134" s="330"/>
      <c r="H134" s="331"/>
    </row>
    <row r="135" spans="2:8" x14ac:dyDescent="0.3">
      <c r="B135" s="329"/>
      <c r="C135" s="330"/>
      <c r="D135" s="330"/>
      <c r="E135" s="330"/>
      <c r="F135" s="330"/>
      <c r="G135" s="330"/>
      <c r="H135" s="331"/>
    </row>
    <row r="136" spans="2:8" x14ac:dyDescent="0.3">
      <c r="B136" s="329"/>
      <c r="C136" s="330"/>
      <c r="D136" s="330"/>
      <c r="E136" s="330"/>
      <c r="F136" s="330"/>
      <c r="G136" s="330"/>
      <c r="H136" s="331"/>
    </row>
    <row r="137" spans="2:8" x14ac:dyDescent="0.3">
      <c r="B137" s="329"/>
      <c r="C137" s="330"/>
      <c r="D137" s="330"/>
      <c r="E137" s="330"/>
      <c r="F137" s="330"/>
      <c r="G137" s="330"/>
      <c r="H137" s="331"/>
    </row>
    <row r="138" spans="2:8" x14ac:dyDescent="0.3">
      <c r="B138" s="332"/>
      <c r="C138" s="333"/>
      <c r="D138" s="333"/>
      <c r="E138" s="333"/>
      <c r="F138" s="333"/>
      <c r="G138" s="333"/>
      <c r="H138" s="334"/>
    </row>
    <row r="139" spans="2:8" ht="9" customHeight="1" x14ac:dyDescent="0.3"/>
    <row r="140" spans="2:8" ht="40.5" customHeight="1" x14ac:dyDescent="0.3">
      <c r="B140" s="305" t="s">
        <v>217</v>
      </c>
      <c r="C140" s="305"/>
      <c r="D140" s="305"/>
      <c r="E140" s="305"/>
      <c r="F140" s="305"/>
      <c r="G140" s="305"/>
      <c r="H140" s="305"/>
    </row>
    <row r="141" spans="2:8" x14ac:dyDescent="0.3">
      <c r="B141" s="241" t="s">
        <v>307</v>
      </c>
      <c r="C141" s="242"/>
      <c r="D141" s="242"/>
      <c r="E141" s="242"/>
      <c r="F141" s="242"/>
      <c r="G141" s="242"/>
      <c r="H141" s="243"/>
    </row>
    <row r="142" spans="2:8" x14ac:dyDescent="0.3">
      <c r="B142" s="244"/>
      <c r="C142" s="245"/>
      <c r="D142" s="245"/>
      <c r="E142" s="245"/>
      <c r="F142" s="245"/>
      <c r="G142" s="245"/>
      <c r="H142" s="246"/>
    </row>
    <row r="143" spans="2:8" x14ac:dyDescent="0.3">
      <c r="B143" s="244"/>
      <c r="C143" s="245"/>
      <c r="D143" s="245"/>
      <c r="E143" s="245"/>
      <c r="F143" s="245"/>
      <c r="G143" s="245"/>
      <c r="H143" s="246"/>
    </row>
    <row r="144" spans="2:8" x14ac:dyDescent="0.3">
      <c r="B144" s="244"/>
      <c r="C144" s="245"/>
      <c r="D144" s="245"/>
      <c r="E144" s="245"/>
      <c r="F144" s="245"/>
      <c r="G144" s="245"/>
      <c r="H144" s="246"/>
    </row>
    <row r="145" spans="1:8" x14ac:dyDescent="0.3">
      <c r="B145" s="244"/>
      <c r="C145" s="245"/>
      <c r="D145" s="245"/>
      <c r="E145" s="245"/>
      <c r="F145" s="245"/>
      <c r="G145" s="245"/>
      <c r="H145" s="246"/>
    </row>
    <row r="146" spans="1:8" x14ac:dyDescent="0.3">
      <c r="B146" s="244"/>
      <c r="C146" s="245"/>
      <c r="D146" s="245"/>
      <c r="E146" s="245"/>
      <c r="F146" s="245"/>
      <c r="G146" s="245"/>
      <c r="H146" s="246"/>
    </row>
    <row r="147" spans="1:8" x14ac:dyDescent="0.3">
      <c r="B147" s="244"/>
      <c r="C147" s="245"/>
      <c r="D147" s="245"/>
      <c r="E147" s="245"/>
      <c r="F147" s="245"/>
      <c r="G147" s="245"/>
      <c r="H147" s="246"/>
    </row>
    <row r="148" spans="1:8" x14ac:dyDescent="0.3">
      <c r="B148" s="247"/>
      <c r="C148" s="248"/>
      <c r="D148" s="248"/>
      <c r="E148" s="248"/>
      <c r="F148" s="248"/>
      <c r="G148" s="248"/>
      <c r="H148" s="249"/>
    </row>
    <row r="150" spans="1:8" x14ac:dyDescent="0.3">
      <c r="A150" s="9" t="s">
        <v>144</v>
      </c>
    </row>
    <row r="151" spans="1:8" x14ac:dyDescent="0.3">
      <c r="B151" s="183" t="s">
        <v>145</v>
      </c>
      <c r="C151" s="183"/>
      <c r="D151" s="183"/>
      <c r="E151" s="183"/>
      <c r="F151" s="183"/>
      <c r="G151" s="321">
        <f>H185+H190</f>
        <v>243306038</v>
      </c>
      <c r="H151" s="322"/>
    </row>
    <row r="152" spans="1:8" x14ac:dyDescent="0.3">
      <c r="B152" s="184" t="s">
        <v>122</v>
      </c>
      <c r="C152" s="183"/>
      <c r="D152" s="183"/>
      <c r="E152" s="183"/>
      <c r="F152" s="183"/>
      <c r="G152" s="306">
        <v>0.03</v>
      </c>
      <c r="H152" s="307"/>
    </row>
    <row r="153" spans="1:8" ht="24" customHeight="1" x14ac:dyDescent="0.3">
      <c r="B153" s="223" t="s">
        <v>230</v>
      </c>
      <c r="C153" s="224"/>
      <c r="D153" s="224"/>
      <c r="E153" s="224"/>
      <c r="F153" s="225"/>
      <c r="G153" s="251">
        <f>SUM(G151*G152)</f>
        <v>7299181.1399999997</v>
      </c>
      <c r="H153" s="252"/>
    </row>
    <row r="155" spans="1:8" x14ac:dyDescent="0.3">
      <c r="A155" s="211" t="s">
        <v>192</v>
      </c>
      <c r="B155" s="212"/>
      <c r="C155" s="212"/>
      <c r="D155" s="212"/>
      <c r="E155" s="212"/>
      <c r="F155" s="212"/>
      <c r="G155" s="212"/>
      <c r="H155" s="213"/>
    </row>
    <row r="156" spans="1:8" s="52" customFormat="1" ht="16.5" customHeight="1" x14ac:dyDescent="0.3">
      <c r="A156" s="45" t="s">
        <v>103</v>
      </c>
      <c r="B156" s="9" t="s">
        <v>113</v>
      </c>
      <c r="C156" s="9"/>
      <c r="D156" s="14"/>
      <c r="E156" s="14"/>
      <c r="F156" s="14"/>
      <c r="G156" s="9"/>
      <c r="H156" s="292">
        <f>H13</f>
        <v>45248</v>
      </c>
    </row>
    <row r="157" spans="1:8" s="52" customFormat="1" x14ac:dyDescent="0.3">
      <c r="A157" s="9"/>
      <c r="B157" s="222" t="s">
        <v>218</v>
      </c>
      <c r="C157" s="222"/>
      <c r="D157" s="222"/>
      <c r="E157" s="222"/>
      <c r="F157" s="222"/>
      <c r="G157" s="222"/>
      <c r="H157" s="293"/>
    </row>
    <row r="158" spans="1:8" s="52" customFormat="1" x14ac:dyDescent="0.3">
      <c r="A158" s="9"/>
      <c r="B158" s="9" t="s">
        <v>231</v>
      </c>
      <c r="C158" s="9"/>
      <c r="D158" s="91"/>
      <c r="E158" s="91"/>
      <c r="F158" s="91"/>
      <c r="G158" s="9"/>
      <c r="H158" s="294"/>
    </row>
    <row r="159" spans="1:8" s="52" customFormat="1" ht="3.75" customHeight="1" x14ac:dyDescent="0.3">
      <c r="A159" s="9"/>
      <c r="B159" s="9"/>
      <c r="C159" s="9"/>
      <c r="D159" s="91"/>
      <c r="E159" s="91"/>
      <c r="F159" s="91"/>
      <c r="G159" s="9"/>
      <c r="H159" s="164"/>
    </row>
    <row r="160" spans="1:8" s="52" customFormat="1" ht="27" customHeight="1" x14ac:dyDescent="0.3">
      <c r="A160" s="9"/>
      <c r="B160" s="222" t="s">
        <v>298</v>
      </c>
      <c r="C160" s="222"/>
      <c r="D160" s="222"/>
      <c r="E160" s="222"/>
      <c r="F160" s="250"/>
      <c r="G160" s="196" t="s">
        <v>308</v>
      </c>
      <c r="H160" s="195">
        <v>45204</v>
      </c>
    </row>
    <row r="161" spans="1:8" s="52" customFormat="1" ht="6" customHeight="1" x14ac:dyDescent="0.3">
      <c r="A161" s="9"/>
      <c r="B161" s="9"/>
      <c r="C161" s="9"/>
      <c r="D161" s="91"/>
      <c r="E161" s="91"/>
      <c r="F161" s="91"/>
      <c r="G161" s="9"/>
      <c r="H161" s="9"/>
    </row>
    <row r="162" spans="1:8" s="52" customFormat="1" x14ac:dyDescent="0.3">
      <c r="A162" s="9"/>
      <c r="B162" s="9" t="s">
        <v>147</v>
      </c>
      <c r="C162" s="9"/>
      <c r="D162" s="91"/>
      <c r="E162" s="91"/>
      <c r="F162" s="91"/>
      <c r="G162" s="9"/>
      <c r="H162" s="9"/>
    </row>
    <row r="163" spans="1:8" s="52" customFormat="1" x14ac:dyDescent="0.3">
      <c r="A163" s="9"/>
      <c r="B163" s="9" t="s">
        <v>146</v>
      </c>
      <c r="C163" s="9"/>
      <c r="D163" s="91"/>
      <c r="E163" s="91"/>
      <c r="F163" s="91"/>
      <c r="G163" s="9"/>
      <c r="H163" s="9"/>
    </row>
    <row r="164" spans="1:8" ht="16.899999999999999" customHeight="1" x14ac:dyDescent="0.3">
      <c r="A164" s="9" t="s">
        <v>101</v>
      </c>
      <c r="B164" s="64" t="s">
        <v>212</v>
      </c>
    </row>
    <row r="165" spans="1:8" x14ac:dyDescent="0.3">
      <c r="B165" s="64" t="s">
        <v>211</v>
      </c>
    </row>
    <row r="166" spans="1:8" x14ac:dyDescent="0.3">
      <c r="B166" s="71" t="s">
        <v>275</v>
      </c>
    </row>
    <row r="167" spans="1:8" x14ac:dyDescent="0.3">
      <c r="B167" s="71" t="s">
        <v>276</v>
      </c>
    </row>
    <row r="168" spans="1:8" ht="15.75" customHeight="1" x14ac:dyDescent="0.35">
      <c r="B168" s="9"/>
      <c r="E168" s="156"/>
      <c r="F168" s="236" t="s">
        <v>310</v>
      </c>
      <c r="G168" s="237"/>
      <c r="H168" s="238"/>
    </row>
    <row r="169" spans="1:8" ht="12.5" x14ac:dyDescent="0.25">
      <c r="A169" s="229" t="s">
        <v>120</v>
      </c>
      <c r="B169" s="230"/>
      <c r="C169" s="230"/>
      <c r="D169" s="231"/>
      <c r="E169" s="158" t="s">
        <v>84</v>
      </c>
      <c r="F169" s="155" t="s">
        <v>85</v>
      </c>
      <c r="G169" s="155" t="s">
        <v>86</v>
      </c>
      <c r="H169" s="155" t="s">
        <v>87</v>
      </c>
    </row>
    <row r="170" spans="1:8" ht="59.25" customHeight="1" x14ac:dyDescent="0.25">
      <c r="A170" s="232"/>
      <c r="B170" s="233"/>
      <c r="C170" s="233"/>
      <c r="D170" s="233"/>
      <c r="E170" s="185" t="s">
        <v>313</v>
      </c>
      <c r="F170" s="254" t="s">
        <v>278</v>
      </c>
      <c r="G170" s="217" t="s">
        <v>279</v>
      </c>
      <c r="H170" s="254" t="s">
        <v>277</v>
      </c>
    </row>
    <row r="171" spans="1:8" ht="18.75" customHeight="1" x14ac:dyDescent="0.25">
      <c r="A171" s="234"/>
      <c r="B171" s="235"/>
      <c r="C171" s="235"/>
      <c r="D171" s="235"/>
      <c r="E171" s="186">
        <v>45199</v>
      </c>
      <c r="F171" s="255"/>
      <c r="G171" s="218"/>
      <c r="H171" s="255"/>
    </row>
    <row r="172" spans="1:8" ht="17.25" customHeight="1" x14ac:dyDescent="0.3">
      <c r="A172" s="45" t="s">
        <v>232</v>
      </c>
      <c r="B172" s="34"/>
      <c r="C172" s="34"/>
      <c r="D172" s="34"/>
      <c r="E172" s="204">
        <v>15303</v>
      </c>
      <c r="F172" s="154"/>
      <c r="G172" s="154"/>
      <c r="H172" s="204">
        <f>E172</f>
        <v>15303</v>
      </c>
    </row>
    <row r="173" spans="1:8" x14ac:dyDescent="0.3">
      <c r="A173" s="9" t="s">
        <v>194</v>
      </c>
      <c r="B173" s="34"/>
      <c r="C173" s="36"/>
      <c r="D173" s="30" t="s">
        <v>78</v>
      </c>
      <c r="E173" s="152">
        <v>174403472</v>
      </c>
      <c r="F173" s="152">
        <v>0</v>
      </c>
      <c r="G173" s="152">
        <v>0</v>
      </c>
      <c r="H173" s="107">
        <f>SUM(E173:G173)</f>
        <v>174403472</v>
      </c>
    </row>
    <row r="174" spans="1:8" x14ac:dyDescent="0.3">
      <c r="A174" s="9" t="s">
        <v>79</v>
      </c>
      <c r="B174" s="34"/>
      <c r="C174" s="36"/>
      <c r="D174" s="30" t="s">
        <v>80</v>
      </c>
      <c r="E174" s="152">
        <f>257295989-E173</f>
        <v>82892517</v>
      </c>
      <c r="F174" s="152">
        <v>0</v>
      </c>
      <c r="G174" s="152">
        <v>0</v>
      </c>
      <c r="H174" s="107">
        <f>SUM(E174:G174)</f>
        <v>82892517</v>
      </c>
    </row>
    <row r="175" spans="1:8" x14ac:dyDescent="0.3">
      <c r="B175" s="35"/>
      <c r="C175" s="35"/>
      <c r="D175" s="37" t="s">
        <v>81</v>
      </c>
      <c r="E175" s="94">
        <f>ROUND(SUM(E173:E174),0)</f>
        <v>257295989</v>
      </c>
      <c r="F175" s="94">
        <f>ROUND(SUM(F173:F174),0)</f>
        <v>0</v>
      </c>
      <c r="G175" s="94">
        <f>ROUND(SUM(G173:G174),0)</f>
        <v>0</v>
      </c>
      <c r="H175" s="94">
        <f>SUM(E175:G175)</f>
        <v>257295989</v>
      </c>
    </row>
    <row r="176" spans="1:8" ht="4.5" customHeight="1" x14ac:dyDescent="0.3">
      <c r="B176" s="35"/>
      <c r="C176" s="35"/>
      <c r="D176" s="35"/>
      <c r="E176" s="95"/>
      <c r="F176" s="95"/>
      <c r="G176" s="95"/>
      <c r="H176" s="95"/>
    </row>
    <row r="177" spans="1:8" x14ac:dyDescent="0.3">
      <c r="A177" s="9" t="s">
        <v>88</v>
      </c>
      <c r="B177" s="35"/>
      <c r="C177" s="34"/>
      <c r="D177" s="34"/>
      <c r="E177" s="96"/>
      <c r="F177" s="96"/>
      <c r="G177" s="96"/>
      <c r="H177" s="108"/>
    </row>
    <row r="178" spans="1:8" x14ac:dyDescent="0.3">
      <c r="A178" s="9" t="s">
        <v>89</v>
      </c>
      <c r="B178" s="34"/>
      <c r="C178" s="34"/>
      <c r="D178" s="34"/>
      <c r="E178" s="152">
        <f>92005617-F178</f>
        <v>92005617</v>
      </c>
      <c r="F178" s="152">
        <f>H47</f>
        <v>0</v>
      </c>
      <c r="G178" s="157">
        <v>0</v>
      </c>
      <c r="H178" s="107">
        <f>SUM(E178:G178)</f>
        <v>92005617</v>
      </c>
    </row>
    <row r="179" spans="1:8" x14ac:dyDescent="0.3">
      <c r="A179" s="9" t="s">
        <v>90</v>
      </c>
      <c r="B179" s="34"/>
      <c r="C179" s="34"/>
      <c r="D179" s="34"/>
      <c r="E179" s="152">
        <v>35126531</v>
      </c>
      <c r="F179" s="152">
        <v>0</v>
      </c>
      <c r="G179" s="157">
        <v>0</v>
      </c>
      <c r="H179" s="107">
        <f t="shared" ref="H179:H199" si="0">SUM(E179:G179)</f>
        <v>35126531</v>
      </c>
    </row>
    <row r="180" spans="1:8" x14ac:dyDescent="0.3">
      <c r="A180" s="9" t="s">
        <v>91</v>
      </c>
      <c r="B180" s="34"/>
      <c r="C180" s="34"/>
      <c r="D180" s="34"/>
      <c r="E180" s="152">
        <f>67318895-F180</f>
        <v>67318895</v>
      </c>
      <c r="F180" s="152">
        <f>H76+H83</f>
        <v>0</v>
      </c>
      <c r="G180" s="157">
        <v>0</v>
      </c>
      <c r="H180" s="107">
        <f t="shared" si="0"/>
        <v>67318895</v>
      </c>
    </row>
    <row r="181" spans="1:8" x14ac:dyDescent="0.3">
      <c r="A181" s="9" t="s">
        <v>92</v>
      </c>
      <c r="B181" s="34"/>
      <c r="C181" s="34"/>
      <c r="D181" s="34"/>
      <c r="E181" s="152">
        <v>16274612</v>
      </c>
      <c r="F181" s="152">
        <v>0</v>
      </c>
      <c r="G181" s="157">
        <v>0</v>
      </c>
      <c r="H181" s="107">
        <f t="shared" si="0"/>
        <v>16274612</v>
      </c>
    </row>
    <row r="182" spans="1:8" x14ac:dyDescent="0.3">
      <c r="A182" s="9" t="s">
        <v>93</v>
      </c>
      <c r="B182" s="34"/>
      <c r="C182" s="34"/>
      <c r="D182" s="34"/>
      <c r="E182" s="152">
        <v>27729590</v>
      </c>
      <c r="F182" s="152">
        <v>0</v>
      </c>
      <c r="G182" s="157">
        <v>0</v>
      </c>
      <c r="H182" s="107">
        <f t="shared" si="0"/>
        <v>27729590</v>
      </c>
    </row>
    <row r="183" spans="1:8" x14ac:dyDescent="0.3">
      <c r="A183" s="9" t="s">
        <v>94</v>
      </c>
      <c r="B183" s="34"/>
      <c r="C183" s="34"/>
      <c r="D183" s="34"/>
      <c r="E183" s="152">
        <v>4748751</v>
      </c>
      <c r="F183" s="152">
        <v>0</v>
      </c>
      <c r="G183" s="157">
        <v>0</v>
      </c>
      <c r="H183" s="107">
        <f t="shared" si="0"/>
        <v>4748751</v>
      </c>
    </row>
    <row r="184" spans="1:8" x14ac:dyDescent="0.3">
      <c r="A184" s="9" t="s">
        <v>95</v>
      </c>
      <c r="B184" s="34"/>
      <c r="C184" s="34"/>
      <c r="D184" s="34"/>
      <c r="E184" s="152">
        <f>615029-512987</f>
        <v>102042</v>
      </c>
      <c r="F184" s="152">
        <v>0</v>
      </c>
      <c r="G184" s="157">
        <v>0</v>
      </c>
      <c r="H184" s="107">
        <f t="shared" si="0"/>
        <v>102042</v>
      </c>
    </row>
    <row r="185" spans="1:8" x14ac:dyDescent="0.3">
      <c r="B185" s="35"/>
      <c r="C185" s="35"/>
      <c r="D185" s="37" t="s">
        <v>81</v>
      </c>
      <c r="E185" s="94">
        <f>(ROUND(SUM(E178:E184),0))</f>
        <v>243306038</v>
      </c>
      <c r="F185" s="94">
        <f>(ROUND(SUM(F178:F184),0))</f>
        <v>0</v>
      </c>
      <c r="G185" s="94">
        <f>(ROUND(SUM(G178:G184),0))</f>
        <v>0</v>
      </c>
      <c r="H185" s="94">
        <f t="shared" si="0"/>
        <v>243306038</v>
      </c>
    </row>
    <row r="186" spans="1:8" ht="6" customHeight="1" x14ac:dyDescent="0.3">
      <c r="B186" s="35"/>
      <c r="C186" s="35"/>
      <c r="D186" s="35"/>
      <c r="E186" s="95"/>
      <c r="F186" s="95"/>
      <c r="G186" s="95"/>
      <c r="H186" s="99"/>
    </row>
    <row r="187" spans="1:8" x14ac:dyDescent="0.3">
      <c r="A187" s="9" t="s">
        <v>82</v>
      </c>
      <c r="B187" s="34"/>
      <c r="C187" s="34"/>
      <c r="D187" s="34"/>
      <c r="E187" s="94">
        <f>+E175-E185</f>
        <v>13989951</v>
      </c>
      <c r="F187" s="94">
        <f>+F175-F185</f>
        <v>0</v>
      </c>
      <c r="G187" s="94">
        <f>+G175-G185</f>
        <v>0</v>
      </c>
      <c r="H187" s="94">
        <f t="shared" si="0"/>
        <v>13989951</v>
      </c>
    </row>
    <row r="188" spans="1:8" ht="6.75" customHeight="1" x14ac:dyDescent="0.3">
      <c r="B188" s="34"/>
      <c r="C188" s="34"/>
      <c r="D188" s="34"/>
      <c r="E188" s="96"/>
      <c r="F188" s="96"/>
      <c r="G188" s="96"/>
      <c r="H188" s="109"/>
    </row>
    <row r="189" spans="1:8" x14ac:dyDescent="0.3">
      <c r="A189" s="9" t="s">
        <v>96</v>
      </c>
      <c r="B189" s="34"/>
      <c r="C189" s="34"/>
      <c r="D189" s="34"/>
      <c r="E189" s="152">
        <v>0</v>
      </c>
      <c r="F189" s="152">
        <v>0</v>
      </c>
      <c r="G189" s="152">
        <v>0</v>
      </c>
      <c r="H189" s="106">
        <f t="shared" si="0"/>
        <v>0</v>
      </c>
    </row>
    <row r="190" spans="1:8" x14ac:dyDescent="0.3">
      <c r="A190" s="9" t="s">
        <v>97</v>
      </c>
      <c r="B190" s="34"/>
      <c r="C190" s="34"/>
      <c r="D190" s="34"/>
      <c r="E190" s="152">
        <v>0</v>
      </c>
      <c r="F190" s="152">
        <v>0</v>
      </c>
      <c r="G190" s="152">
        <v>0</v>
      </c>
      <c r="H190" s="107">
        <f t="shared" si="0"/>
        <v>0</v>
      </c>
    </row>
    <row r="191" spans="1:8" x14ac:dyDescent="0.3">
      <c r="A191" s="45" t="s">
        <v>214</v>
      </c>
      <c r="B191" s="34"/>
      <c r="C191" s="34"/>
      <c r="D191" s="34"/>
      <c r="E191" s="101"/>
      <c r="F191" s="97"/>
      <c r="G191" s="97"/>
      <c r="H191" s="97">
        <f t="shared" si="0"/>
        <v>0</v>
      </c>
    </row>
    <row r="192" spans="1:8" x14ac:dyDescent="0.3">
      <c r="A192" s="45" t="s">
        <v>213</v>
      </c>
      <c r="B192" s="34"/>
      <c r="C192" s="34"/>
      <c r="D192" s="34"/>
      <c r="E192" s="98">
        <f>+E187+E189-E190</f>
        <v>13989951</v>
      </c>
      <c r="F192" s="98">
        <f>+F187+F189-F190</f>
        <v>0</v>
      </c>
      <c r="G192" s="98">
        <f>+G187+G189-G190</f>
        <v>0</v>
      </c>
      <c r="H192" s="98">
        <f t="shared" si="0"/>
        <v>13989951</v>
      </c>
    </row>
    <row r="193" spans="1:10" ht="6" customHeight="1" x14ac:dyDescent="0.3">
      <c r="B193" s="34"/>
      <c r="C193" s="34"/>
      <c r="D193" s="34"/>
      <c r="E193" s="99"/>
      <c r="F193" s="99"/>
      <c r="G193" s="99"/>
      <c r="H193" s="99"/>
    </row>
    <row r="194" spans="1:10" x14ac:dyDescent="0.3">
      <c r="A194" s="9" t="s">
        <v>199</v>
      </c>
      <c r="B194" s="34"/>
      <c r="C194" s="34"/>
      <c r="D194" s="34"/>
      <c r="E194" s="152">
        <v>48255577</v>
      </c>
      <c r="F194" s="141" t="s">
        <v>54</v>
      </c>
      <c r="G194" s="141" t="s">
        <v>54</v>
      </c>
      <c r="H194" s="106">
        <f t="shared" si="0"/>
        <v>48255577</v>
      </c>
    </row>
    <row r="195" spans="1:10" x14ac:dyDescent="0.3">
      <c r="A195" s="9" t="s">
        <v>200</v>
      </c>
      <c r="B195" s="34"/>
      <c r="C195" s="34"/>
      <c r="D195" s="34"/>
      <c r="E195" s="152">
        <v>0</v>
      </c>
      <c r="F195" s="142" t="s">
        <v>54</v>
      </c>
      <c r="G195" s="157">
        <v>0</v>
      </c>
      <c r="H195" s="106">
        <f t="shared" si="0"/>
        <v>0</v>
      </c>
    </row>
    <row r="196" spans="1:10" x14ac:dyDescent="0.3">
      <c r="A196" s="9" t="s">
        <v>83</v>
      </c>
      <c r="B196" s="34"/>
      <c r="C196" s="34"/>
      <c r="D196" s="34"/>
      <c r="E196" s="94">
        <f>+E194+E195</f>
        <v>48255577</v>
      </c>
      <c r="F196" s="143"/>
      <c r="G196" s="94">
        <f>G195</f>
        <v>0</v>
      </c>
      <c r="H196" s="94">
        <f t="shared" si="0"/>
        <v>48255577</v>
      </c>
    </row>
    <row r="197" spans="1:10" ht="6" customHeight="1" x14ac:dyDescent="0.3">
      <c r="A197" s="33"/>
      <c r="B197" s="38"/>
      <c r="C197" s="38"/>
      <c r="D197" s="38"/>
      <c r="E197" s="100"/>
      <c r="F197" s="100"/>
      <c r="G197" s="100"/>
      <c r="H197" s="100"/>
    </row>
    <row r="198" spans="1:10" x14ac:dyDescent="0.3">
      <c r="A198" s="9" t="s">
        <v>154</v>
      </c>
      <c r="B198" s="35"/>
      <c r="C198" s="35"/>
      <c r="D198" s="35"/>
      <c r="E198" s="98">
        <f>ROUND(SUM(+E192+E196),0)</f>
        <v>62245528</v>
      </c>
      <c r="F198" s="98">
        <f>ROUND(SUM(+F192+F196),0)</f>
        <v>0</v>
      </c>
      <c r="G198" s="98">
        <f>ROUND(SUM(+G192+G196),0)</f>
        <v>0</v>
      </c>
      <c r="H198" s="98">
        <f t="shared" si="0"/>
        <v>62245528</v>
      </c>
    </row>
    <row r="199" spans="1:10" ht="5.25" customHeight="1" x14ac:dyDescent="0.3">
      <c r="B199" s="35"/>
      <c r="C199" s="35"/>
      <c r="D199" s="35"/>
      <c r="E199" s="31"/>
      <c r="F199" s="95"/>
      <c r="G199" s="95"/>
      <c r="H199" s="31">
        <f t="shared" si="0"/>
        <v>0</v>
      </c>
    </row>
    <row r="200" spans="1:10" x14ac:dyDescent="0.3">
      <c r="A200" s="9" t="s">
        <v>155</v>
      </c>
      <c r="B200" s="34"/>
      <c r="C200" s="34"/>
      <c r="D200" s="34"/>
      <c r="E200" s="63"/>
      <c r="F200" s="96"/>
      <c r="G200" s="96"/>
      <c r="H200" s="32"/>
    </row>
    <row r="201" spans="1:10" x14ac:dyDescent="0.3">
      <c r="A201" s="9" t="s">
        <v>148</v>
      </c>
      <c r="B201" s="35"/>
      <c r="C201" s="35"/>
      <c r="D201" s="53"/>
      <c r="E201" s="152">
        <v>176403</v>
      </c>
      <c r="F201" s="152">
        <v>0</v>
      </c>
      <c r="G201" s="152">
        <v>0</v>
      </c>
      <c r="H201" s="107">
        <f>SUM(E201:G201)</f>
        <v>176403</v>
      </c>
    </row>
    <row r="202" spans="1:10" x14ac:dyDescent="0.3">
      <c r="A202" s="9" t="s">
        <v>149</v>
      </c>
      <c r="B202" s="9"/>
      <c r="C202" s="35"/>
      <c r="D202" s="35"/>
      <c r="E202" s="152">
        <v>38973909</v>
      </c>
      <c r="F202" s="152">
        <v>0</v>
      </c>
      <c r="G202" s="152">
        <v>0</v>
      </c>
      <c r="H202" s="107">
        <f>SUM(E202:G202)</f>
        <v>38973909</v>
      </c>
    </row>
    <row r="203" spans="1:10" x14ac:dyDescent="0.3">
      <c r="A203" s="9" t="s">
        <v>150</v>
      </c>
      <c r="B203" s="35"/>
      <c r="C203" s="35"/>
      <c r="D203" s="53"/>
      <c r="E203" s="152">
        <v>1200000</v>
      </c>
      <c r="F203" s="152">
        <v>0</v>
      </c>
      <c r="G203" s="152">
        <v>0</v>
      </c>
      <c r="H203" s="107">
        <f>SUM(E203:G203)</f>
        <v>1200000</v>
      </c>
    </row>
    <row r="204" spans="1:10" x14ac:dyDescent="0.3">
      <c r="A204" s="9" t="s">
        <v>151</v>
      </c>
      <c r="B204" s="35"/>
      <c r="C204" s="35"/>
      <c r="D204" s="53"/>
      <c r="E204" s="152">
        <v>10828286</v>
      </c>
      <c r="F204" s="152">
        <v>0</v>
      </c>
      <c r="G204" s="152">
        <v>0</v>
      </c>
      <c r="H204" s="107">
        <f>SUM(E204:G204)</f>
        <v>10828286</v>
      </c>
    </row>
    <row r="205" spans="1:10" s="9" customFormat="1" ht="25.5" customHeight="1" x14ac:dyDescent="0.3">
      <c r="A205" s="239" t="s">
        <v>152</v>
      </c>
      <c r="B205" s="239"/>
      <c r="C205" s="239"/>
      <c r="D205" s="240"/>
      <c r="E205" s="153">
        <f>SUM(E185+E190)*$G$152</f>
        <v>7299181.1399999997</v>
      </c>
      <c r="F205" s="153">
        <f>SUM(F185+F190)*$G$152</f>
        <v>0</v>
      </c>
      <c r="G205" s="153">
        <f>SUM(G185+G190)*$G$152</f>
        <v>0</v>
      </c>
      <c r="H205" s="153">
        <f>SUM(H185+H190)*$G$152</f>
        <v>7299181.1399999997</v>
      </c>
      <c r="I205" s="190">
        <f>H198-SUM(H201:H205)</f>
        <v>3767748.8599999994</v>
      </c>
      <c r="J205" s="191" t="s">
        <v>297</v>
      </c>
    </row>
    <row r="206" spans="1:10" s="9" customFormat="1" x14ac:dyDescent="0.3">
      <c r="A206" s="9" t="s">
        <v>153</v>
      </c>
      <c r="B206" s="35"/>
      <c r="C206" s="35"/>
      <c r="D206" s="53"/>
      <c r="E206" s="153">
        <f>E198-SUM(E201:E205)</f>
        <v>3767748.8599999994</v>
      </c>
      <c r="F206" s="153">
        <f>F198-SUM(F201:F205)</f>
        <v>0</v>
      </c>
      <c r="G206" s="153">
        <f>G198-SUM(G201:G205)</f>
        <v>0</v>
      </c>
      <c r="H206" s="94">
        <f>SUM(E206:G206)</f>
        <v>3767748.8599999994</v>
      </c>
    </row>
    <row r="207" spans="1:10" s="12" customFormat="1" ht="14.25" customHeight="1" x14ac:dyDescent="0.3">
      <c r="A207" s="12" t="s">
        <v>156</v>
      </c>
      <c r="E207" s="102">
        <f>SUM(E205+E206+E210)/(E185+E190)</f>
        <v>4.5485636488807567E-2</v>
      </c>
      <c r="F207" s="46"/>
      <c r="G207" s="46" t="str">
        <f>IF(H207&gt;=$G$152,"Meets","Does not Meet")</f>
        <v>Meets</v>
      </c>
      <c r="H207" s="102">
        <f>SUM(H205+H206+H210)/(H185+H190)</f>
        <v>4.5485636488807567E-2</v>
      </c>
    </row>
    <row r="208" spans="1:10" ht="12.5" x14ac:dyDescent="0.25">
      <c r="A208" s="103" t="s">
        <v>158</v>
      </c>
      <c r="E208" s="44" t="str">
        <f>IF(E198&lt;&gt;ROUND(SUM(E201:E206),0),"Not in Balance","In Balance")</f>
        <v>In Balance</v>
      </c>
      <c r="H208" s="44" t="str">
        <f>IF(H198&lt;&gt;ROUND(SUM(H201:H206),0),"Not in Balance","In Balance")</f>
        <v>In Balance</v>
      </c>
    </row>
    <row r="209" spans="1:8" x14ac:dyDescent="0.3">
      <c r="A209" s="103" t="s">
        <v>159</v>
      </c>
      <c r="E209" s="104">
        <f>+E198-E203-E205-E206-E201-E202-E204</f>
        <v>0</v>
      </c>
      <c r="F209" s="28" t="str">
        <f>IF(AND(E209=0,H209=0),"OK","Undesignated Amount")</f>
        <v>OK</v>
      </c>
      <c r="G209" s="28"/>
      <c r="H209" s="104">
        <f>+H198-H203-H205-H206-H201-H202-H204</f>
        <v>0</v>
      </c>
    </row>
    <row r="210" spans="1:8" s="35" customFormat="1" ht="11.5" x14ac:dyDescent="0.25">
      <c r="A210" s="35" t="s">
        <v>201</v>
      </c>
      <c r="E210" s="208"/>
      <c r="F210" s="51"/>
      <c r="G210" s="51"/>
      <c r="H210" s="208"/>
    </row>
    <row r="211" spans="1:8" s="35" customFormat="1" ht="6" customHeight="1" x14ac:dyDescent="0.25">
      <c r="E211" s="50"/>
      <c r="F211" s="51"/>
      <c r="G211" s="51"/>
      <c r="H211" s="50"/>
    </row>
    <row r="212" spans="1:8" s="35" customFormat="1" ht="30" customHeight="1" x14ac:dyDescent="0.25">
      <c r="A212" s="295" t="s">
        <v>236</v>
      </c>
      <c r="B212" s="291"/>
      <c r="C212" s="291"/>
      <c r="D212" s="291"/>
      <c r="E212" s="291"/>
      <c r="F212" s="291"/>
      <c r="G212" s="291"/>
      <c r="H212" s="291"/>
    </row>
    <row r="213" spans="1:8" s="35" customFormat="1" ht="11.5" x14ac:dyDescent="0.25">
      <c r="A213" s="267" t="s">
        <v>316</v>
      </c>
      <c r="B213" s="242"/>
      <c r="C213" s="242"/>
      <c r="D213" s="242"/>
      <c r="E213" s="242"/>
      <c r="F213" s="242"/>
      <c r="G213" s="242"/>
      <c r="H213" s="243"/>
    </row>
    <row r="214" spans="1:8" s="35" customFormat="1" ht="9" customHeight="1" x14ac:dyDescent="0.25">
      <c r="A214" s="244"/>
      <c r="B214" s="245"/>
      <c r="C214" s="245"/>
      <c r="D214" s="245"/>
      <c r="E214" s="245"/>
      <c r="F214" s="245"/>
      <c r="G214" s="245"/>
      <c r="H214" s="246"/>
    </row>
    <row r="215" spans="1:8" s="35" customFormat="1" ht="11.5" x14ac:dyDescent="0.25">
      <c r="A215" s="244"/>
      <c r="B215" s="245"/>
      <c r="C215" s="245"/>
      <c r="D215" s="245"/>
      <c r="E215" s="245"/>
      <c r="F215" s="245"/>
      <c r="G215" s="245"/>
      <c r="H215" s="246"/>
    </row>
    <row r="216" spans="1:8" s="35" customFormat="1" ht="11.5" x14ac:dyDescent="0.25">
      <c r="A216" s="247"/>
      <c r="B216" s="248"/>
      <c r="C216" s="248"/>
      <c r="D216" s="248"/>
      <c r="E216" s="248"/>
      <c r="F216" s="248"/>
      <c r="G216" s="248"/>
      <c r="H216" s="249"/>
    </row>
    <row r="217" spans="1:8" ht="15.5" x14ac:dyDescent="0.35">
      <c r="E217" s="236" t="s">
        <v>311</v>
      </c>
      <c r="F217" s="237"/>
      <c r="G217" s="238"/>
      <c r="H217" s="156"/>
    </row>
    <row r="218" spans="1:8" ht="12.5" x14ac:dyDescent="0.25">
      <c r="A218" s="35"/>
      <c r="B218" s="34"/>
      <c r="C218" s="34"/>
      <c r="D218" s="34"/>
      <c r="E218" s="155" t="s">
        <v>84</v>
      </c>
      <c r="F218" s="155" t="s">
        <v>85</v>
      </c>
      <c r="G218" s="155" t="s">
        <v>86</v>
      </c>
      <c r="H218" s="155" t="s">
        <v>87</v>
      </c>
    </row>
    <row r="219" spans="1:8" ht="58.9" customHeight="1" x14ac:dyDescent="0.25">
      <c r="A219" s="35"/>
      <c r="B219" s="34"/>
      <c r="C219" s="34"/>
      <c r="D219" s="34"/>
      <c r="E219" s="185" t="s">
        <v>314</v>
      </c>
      <c r="F219" s="254" t="s">
        <v>278</v>
      </c>
      <c r="G219" s="217" t="s">
        <v>279</v>
      </c>
      <c r="H219" s="254" t="s">
        <v>277</v>
      </c>
    </row>
    <row r="220" spans="1:8" ht="18.649999999999999" customHeight="1" x14ac:dyDescent="0.25">
      <c r="A220" s="35"/>
      <c r="B220" s="34"/>
      <c r="C220" s="34"/>
      <c r="D220" s="34"/>
      <c r="E220" s="186">
        <v>45199</v>
      </c>
      <c r="F220" s="255"/>
      <c r="G220" s="218"/>
      <c r="H220" s="255"/>
    </row>
    <row r="221" spans="1:8" x14ac:dyDescent="0.3">
      <c r="A221" s="45" t="s">
        <v>232</v>
      </c>
      <c r="B221" s="34"/>
      <c r="C221" s="34"/>
      <c r="D221" s="34"/>
      <c r="E221" s="205">
        <v>14570</v>
      </c>
      <c r="F221" s="154"/>
      <c r="G221" s="154"/>
      <c r="H221" s="205">
        <f>E221</f>
        <v>14570</v>
      </c>
    </row>
    <row r="222" spans="1:8" x14ac:dyDescent="0.3">
      <c r="A222" s="9" t="s">
        <v>194</v>
      </c>
      <c r="B222" s="34"/>
      <c r="C222" s="36"/>
      <c r="D222" s="30" t="s">
        <v>78</v>
      </c>
      <c r="E222" s="93">
        <v>180457394</v>
      </c>
      <c r="F222" s="93">
        <v>0</v>
      </c>
      <c r="G222" s="93">
        <v>0</v>
      </c>
      <c r="H222" s="107">
        <f>+E222+F222+G222</f>
        <v>180457394</v>
      </c>
    </row>
    <row r="223" spans="1:8" x14ac:dyDescent="0.3">
      <c r="A223" s="9" t="s">
        <v>79</v>
      </c>
      <c r="B223" s="34"/>
      <c r="C223" s="36"/>
      <c r="D223" s="30" t="s">
        <v>80</v>
      </c>
      <c r="E223" s="93">
        <f>230430923-E222</f>
        <v>49973529</v>
      </c>
      <c r="F223" s="93">
        <v>0</v>
      </c>
      <c r="G223" s="93">
        <v>0</v>
      </c>
      <c r="H223" s="107">
        <f>+E223+F223+G223</f>
        <v>49973529</v>
      </c>
    </row>
    <row r="224" spans="1:8" x14ac:dyDescent="0.3">
      <c r="B224" s="35"/>
      <c r="C224" s="35"/>
      <c r="D224" s="37" t="s">
        <v>81</v>
      </c>
      <c r="E224" s="94">
        <f>ROUND(SUM(E222:E223),0)</f>
        <v>230430923</v>
      </c>
      <c r="F224" s="94">
        <f>ROUND(SUM(F222:F223),0)</f>
        <v>0</v>
      </c>
      <c r="G224" s="94">
        <f>ROUND(SUM(G222:G223),0)</f>
        <v>0</v>
      </c>
      <c r="H224" s="94">
        <f>ROUND(SUM(H222:H223),0)</f>
        <v>230430923</v>
      </c>
    </row>
    <row r="225" spans="1:9" ht="5.25" customHeight="1" x14ac:dyDescent="0.3">
      <c r="B225" s="35"/>
      <c r="C225" s="35"/>
      <c r="D225" s="35"/>
      <c r="E225" s="95"/>
      <c r="F225" s="95"/>
      <c r="G225" s="95"/>
      <c r="H225" s="95"/>
    </row>
    <row r="226" spans="1:9" x14ac:dyDescent="0.3">
      <c r="A226" s="9" t="s">
        <v>88</v>
      </c>
      <c r="B226" s="35"/>
      <c r="C226" s="34"/>
      <c r="D226" s="34"/>
      <c r="E226" s="96"/>
      <c r="F226" s="96"/>
      <c r="G226" s="96"/>
      <c r="H226" s="108"/>
    </row>
    <row r="227" spans="1:9" x14ac:dyDescent="0.3">
      <c r="A227" s="9" t="s">
        <v>89</v>
      </c>
      <c r="B227" s="34"/>
      <c r="C227" s="34"/>
      <c r="D227" s="34"/>
      <c r="E227" s="152">
        <f>E178*1.015</f>
        <v>93385701.254999995</v>
      </c>
      <c r="F227" s="152">
        <f>F178*1.015</f>
        <v>0</v>
      </c>
      <c r="G227" s="203"/>
      <c r="H227" s="106">
        <f t="shared" ref="H227:H233" si="1">+E227+F227+G227</f>
        <v>93385701.254999995</v>
      </c>
      <c r="I227" s="52"/>
    </row>
    <row r="228" spans="1:9" x14ac:dyDescent="0.3">
      <c r="A228" s="9" t="s">
        <v>90</v>
      </c>
      <c r="B228" s="34"/>
      <c r="C228" s="34"/>
      <c r="D228" s="34"/>
      <c r="E228" s="152">
        <f>E179*1.015</f>
        <v>35653428.964999996</v>
      </c>
      <c r="F228" s="152">
        <v>0</v>
      </c>
      <c r="G228" s="152">
        <v>0</v>
      </c>
      <c r="H228" s="107">
        <f t="shared" si="1"/>
        <v>35653428.964999996</v>
      </c>
    </row>
    <row r="229" spans="1:9" x14ac:dyDescent="0.3">
      <c r="A229" s="9" t="s">
        <v>91</v>
      </c>
      <c r="B229" s="34"/>
      <c r="C229" s="34"/>
      <c r="D229" s="34"/>
      <c r="E229" s="152">
        <f>E180*1.015</f>
        <v>68328678.424999997</v>
      </c>
      <c r="F229" s="152">
        <f>F180*1.015</f>
        <v>0</v>
      </c>
      <c r="G229" s="203"/>
      <c r="H229" s="107">
        <f t="shared" si="1"/>
        <v>68328678.424999997</v>
      </c>
      <c r="I229" s="52"/>
    </row>
    <row r="230" spans="1:9" x14ac:dyDescent="0.3">
      <c r="A230" s="9" t="s">
        <v>92</v>
      </c>
      <c r="B230" s="34"/>
      <c r="C230" s="34"/>
      <c r="D230" s="34"/>
      <c r="E230" s="152">
        <v>12133122</v>
      </c>
      <c r="F230" s="152">
        <v>0</v>
      </c>
      <c r="G230" s="152">
        <v>0</v>
      </c>
      <c r="H230" s="107">
        <f t="shared" si="1"/>
        <v>12133122</v>
      </c>
    </row>
    <row r="231" spans="1:9" x14ac:dyDescent="0.3">
      <c r="A231" s="9" t="s">
        <v>93</v>
      </c>
      <c r="B231" s="34"/>
      <c r="C231" s="34"/>
      <c r="D231" s="34"/>
      <c r="E231" s="152">
        <v>23776545</v>
      </c>
      <c r="F231" s="152">
        <v>0</v>
      </c>
      <c r="G231" s="152">
        <v>0</v>
      </c>
      <c r="H231" s="107">
        <f t="shared" si="1"/>
        <v>23776545</v>
      </c>
    </row>
    <row r="232" spans="1:9" x14ac:dyDescent="0.3">
      <c r="A232" s="9" t="s">
        <v>94</v>
      </c>
      <c r="B232" s="34"/>
      <c r="C232" s="34"/>
      <c r="D232" s="34"/>
      <c r="E232" s="152">
        <v>1725032</v>
      </c>
      <c r="F232" s="152">
        <v>0</v>
      </c>
      <c r="G232" s="152">
        <v>0</v>
      </c>
      <c r="H232" s="107">
        <f t="shared" si="1"/>
        <v>1725032</v>
      </c>
    </row>
    <row r="233" spans="1:9" x14ac:dyDescent="0.3">
      <c r="A233" s="9" t="s">
        <v>95</v>
      </c>
      <c r="B233" s="34"/>
      <c r="C233" s="34"/>
      <c r="D233" s="34"/>
      <c r="E233" s="152">
        <f>E184</f>
        <v>102042</v>
      </c>
      <c r="F233" s="152">
        <v>0</v>
      </c>
      <c r="G233" s="152">
        <v>0</v>
      </c>
      <c r="H233" s="107">
        <f t="shared" si="1"/>
        <v>102042</v>
      </c>
    </row>
    <row r="234" spans="1:9" x14ac:dyDescent="0.3">
      <c r="B234" s="35"/>
      <c r="C234" s="35"/>
      <c r="D234" s="37" t="s">
        <v>81</v>
      </c>
      <c r="E234" s="94">
        <f>(ROUND(SUM(E227:E233),0))</f>
        <v>235104550</v>
      </c>
      <c r="F234" s="94">
        <f>(ROUND(SUM(F227:F233),0))</f>
        <v>0</v>
      </c>
      <c r="G234" s="94">
        <f>(ROUND(SUM(G227:G233),0))</f>
        <v>0</v>
      </c>
      <c r="H234" s="94">
        <f>(ROUND(SUM(H227:H233),0))</f>
        <v>235104550</v>
      </c>
    </row>
    <row r="235" spans="1:9" ht="7.5" customHeight="1" x14ac:dyDescent="0.3">
      <c r="B235" s="35"/>
      <c r="C235" s="35"/>
      <c r="D235" s="35"/>
      <c r="E235" s="95"/>
      <c r="F235" s="95"/>
      <c r="G235" s="95"/>
      <c r="H235" s="99"/>
    </row>
    <row r="236" spans="1:9" x14ac:dyDescent="0.3">
      <c r="A236" s="9" t="s">
        <v>233</v>
      </c>
      <c r="B236" s="34"/>
      <c r="C236" s="34"/>
      <c r="D236" s="34"/>
      <c r="E236" s="94">
        <f>+E224-E234</f>
        <v>-4673627</v>
      </c>
      <c r="F236" s="94">
        <f>+F224-F234</f>
        <v>0</v>
      </c>
      <c r="G236" s="94">
        <f>+G224-G234</f>
        <v>0</v>
      </c>
      <c r="H236" s="94">
        <f>+H224-H234</f>
        <v>-4673627</v>
      </c>
    </row>
    <row r="237" spans="1:9" ht="7.5" customHeight="1" x14ac:dyDescent="0.3">
      <c r="B237" s="34"/>
      <c r="C237" s="34"/>
      <c r="D237" s="34"/>
      <c r="E237" s="96"/>
      <c r="F237" s="96"/>
      <c r="G237" s="96"/>
      <c r="H237" s="109"/>
    </row>
    <row r="238" spans="1:9" x14ac:dyDescent="0.3">
      <c r="A238" s="9" t="s">
        <v>96</v>
      </c>
      <c r="B238" s="34"/>
      <c r="C238" s="34"/>
      <c r="D238" s="34"/>
      <c r="E238" s="152">
        <v>0</v>
      </c>
      <c r="F238" s="152">
        <v>0</v>
      </c>
      <c r="G238" s="152">
        <v>0</v>
      </c>
      <c r="H238" s="106">
        <f>+E238+F238+G238</f>
        <v>0</v>
      </c>
    </row>
    <row r="239" spans="1:9" x14ac:dyDescent="0.3">
      <c r="A239" s="9" t="s">
        <v>97</v>
      </c>
      <c r="B239" s="34"/>
      <c r="C239" s="34"/>
      <c r="D239" s="34"/>
      <c r="E239" s="152">
        <v>0</v>
      </c>
      <c r="F239" s="152">
        <v>0</v>
      </c>
      <c r="G239" s="152">
        <v>0</v>
      </c>
      <c r="H239" s="107">
        <f>+E239+F239+G239</f>
        <v>0</v>
      </c>
    </row>
    <row r="240" spans="1:9" x14ac:dyDescent="0.3">
      <c r="A240" s="45" t="s">
        <v>215</v>
      </c>
      <c r="B240" s="34"/>
      <c r="C240" s="34"/>
      <c r="D240" s="34"/>
      <c r="E240" s="101"/>
      <c r="F240" s="97"/>
      <c r="G240" s="97"/>
      <c r="H240" s="97"/>
    </row>
    <row r="241" spans="1:10" x14ac:dyDescent="0.3">
      <c r="A241" s="45" t="s">
        <v>213</v>
      </c>
      <c r="B241" s="34"/>
      <c r="C241" s="34"/>
      <c r="D241" s="34"/>
      <c r="E241" s="98">
        <f>+E236+E238-E239</f>
        <v>-4673627</v>
      </c>
      <c r="F241" s="98">
        <f>+F236+F238-F239</f>
        <v>0</v>
      </c>
      <c r="G241" s="98">
        <f>+G236+G238-G239</f>
        <v>0</v>
      </c>
      <c r="H241" s="98">
        <f>+H236+H238-H239</f>
        <v>-4673627</v>
      </c>
    </row>
    <row r="242" spans="1:10" ht="9" customHeight="1" x14ac:dyDescent="0.3">
      <c r="B242" s="34"/>
      <c r="C242" s="34"/>
      <c r="D242" s="34"/>
      <c r="E242" s="99"/>
      <c r="F242" s="99"/>
      <c r="G242" s="99"/>
      <c r="H242" s="99"/>
    </row>
    <row r="243" spans="1:10" ht="26.25" customHeight="1" x14ac:dyDescent="0.3">
      <c r="A243" s="239" t="s">
        <v>234</v>
      </c>
      <c r="B243" s="239"/>
      <c r="C243" s="239"/>
      <c r="D243" s="240"/>
      <c r="E243" s="112">
        <f>H198</f>
        <v>62245528</v>
      </c>
      <c r="F243" s="142" t="s">
        <v>54</v>
      </c>
      <c r="G243" s="142"/>
      <c r="H243" s="106">
        <f>H198</f>
        <v>62245528</v>
      </c>
    </row>
    <row r="244" spans="1:10" x14ac:dyDescent="0.3">
      <c r="A244" s="9" t="s">
        <v>157</v>
      </c>
      <c r="B244" s="34"/>
      <c r="C244" s="34"/>
      <c r="D244" s="34"/>
      <c r="E244" s="142"/>
      <c r="F244" s="142" t="s">
        <v>54</v>
      </c>
      <c r="G244" s="142"/>
      <c r="H244" s="107">
        <f>E244</f>
        <v>0</v>
      </c>
    </row>
    <row r="245" spans="1:10" x14ac:dyDescent="0.3">
      <c r="A245" s="9" t="s">
        <v>83</v>
      </c>
      <c r="B245" s="34"/>
      <c r="C245" s="34"/>
      <c r="D245" s="34"/>
      <c r="E245" s="94">
        <f>+E243+E244</f>
        <v>62245528</v>
      </c>
      <c r="F245" s="143"/>
      <c r="G245" s="143"/>
      <c r="H245" s="94">
        <f>+H243+H244</f>
        <v>62245528</v>
      </c>
    </row>
    <row r="246" spans="1:10" ht="6.75" customHeight="1" x14ac:dyDescent="0.3">
      <c r="A246" s="33"/>
      <c r="B246" s="38"/>
      <c r="C246" s="38"/>
      <c r="D246" s="38"/>
      <c r="E246" s="100"/>
      <c r="F246" s="100"/>
      <c r="G246" s="100"/>
      <c r="H246" s="100"/>
    </row>
    <row r="247" spans="1:10" x14ac:dyDescent="0.3">
      <c r="A247" s="9" t="s">
        <v>154</v>
      </c>
      <c r="B247" s="35"/>
      <c r="C247" s="35"/>
      <c r="D247" s="35"/>
      <c r="E247" s="98">
        <f>ROUND(SUM(+E241+E245),0)</f>
        <v>57571901</v>
      </c>
      <c r="F247" s="98">
        <f>ROUND(SUM(+F241+F245),0)</f>
        <v>0</v>
      </c>
      <c r="G247" s="98">
        <f>ROUND(SUM(+G241+G245),0)</f>
        <v>0</v>
      </c>
      <c r="H247" s="98">
        <f>ROUND(SUM(+H241+H245),0)</f>
        <v>57571901</v>
      </c>
    </row>
    <row r="248" spans="1:10" ht="7.5" customHeight="1" x14ac:dyDescent="0.3">
      <c r="B248" s="35"/>
      <c r="C248" s="35"/>
      <c r="D248" s="35"/>
      <c r="E248" s="95"/>
      <c r="F248" s="95"/>
      <c r="G248" s="95"/>
      <c r="H248" s="95"/>
    </row>
    <row r="249" spans="1:10" x14ac:dyDescent="0.3">
      <c r="A249" s="9" t="s">
        <v>216</v>
      </c>
      <c r="B249" s="34"/>
      <c r="C249" s="34"/>
      <c r="D249" s="34"/>
      <c r="E249" s="110"/>
      <c r="F249" s="96"/>
      <c r="G249" s="96"/>
      <c r="H249" s="111"/>
    </row>
    <row r="250" spans="1:10" x14ac:dyDescent="0.3">
      <c r="A250" s="9" t="s">
        <v>148</v>
      </c>
      <c r="B250" s="35"/>
      <c r="C250" s="35"/>
      <c r="D250" s="53"/>
      <c r="E250" s="152">
        <v>176403</v>
      </c>
      <c r="F250" s="152">
        <v>0</v>
      </c>
      <c r="G250" s="152">
        <v>0</v>
      </c>
      <c r="H250" s="107">
        <f>SUM(E250:G250)</f>
        <v>176403</v>
      </c>
    </row>
    <row r="251" spans="1:10" x14ac:dyDescent="0.3">
      <c r="A251" s="9" t="s">
        <v>149</v>
      </c>
      <c r="B251" s="9"/>
      <c r="C251" s="35"/>
      <c r="D251" s="35"/>
      <c r="E251" s="152">
        <v>36493590</v>
      </c>
      <c r="F251" s="152">
        <v>0</v>
      </c>
      <c r="G251" s="152">
        <v>0</v>
      </c>
      <c r="H251" s="107">
        <f>SUM(E251:G251)</f>
        <v>36493590</v>
      </c>
    </row>
    <row r="252" spans="1:10" x14ac:dyDescent="0.3">
      <c r="A252" s="9" t="s">
        <v>150</v>
      </c>
      <c r="B252" s="35"/>
      <c r="C252" s="35"/>
      <c r="D252" s="53"/>
      <c r="E252" s="152">
        <f t="shared" ref="E252" si="2">H203</f>
        <v>1200000</v>
      </c>
      <c r="F252" s="152">
        <v>0</v>
      </c>
      <c r="G252" s="152">
        <v>0</v>
      </c>
      <c r="H252" s="107">
        <f>SUM(E252:G252)</f>
        <v>1200000</v>
      </c>
    </row>
    <row r="253" spans="1:10" ht="12.75" customHeight="1" x14ac:dyDescent="0.3">
      <c r="A253" s="9" t="s">
        <v>151</v>
      </c>
      <c r="B253" s="35"/>
      <c r="C253" s="35"/>
      <c r="D253" s="53"/>
      <c r="E253" s="152">
        <v>8000000</v>
      </c>
      <c r="F253" s="152">
        <v>0</v>
      </c>
      <c r="G253" s="152">
        <v>0</v>
      </c>
      <c r="H253" s="107">
        <f>SUM(E253:G253)</f>
        <v>8000000</v>
      </c>
    </row>
    <row r="254" spans="1:10" x14ac:dyDescent="0.3">
      <c r="A254" s="239" t="s">
        <v>152</v>
      </c>
      <c r="B254" s="239"/>
      <c r="C254" s="239"/>
      <c r="D254" s="240"/>
      <c r="E254" s="153">
        <f>SUM(E234+E239)*G152</f>
        <v>7053136.5</v>
      </c>
      <c r="F254" s="153">
        <f>SUM(F234+F239)*$G$152</f>
        <v>0</v>
      </c>
      <c r="G254" s="153">
        <f>SUM(G234+G239)*$G$152</f>
        <v>0</v>
      </c>
      <c r="H254" s="94">
        <f>SUM(H234+H239)*G152</f>
        <v>7053136.5</v>
      </c>
      <c r="I254" s="190">
        <f>H247-SUM(H250:H254)</f>
        <v>4648771.5</v>
      </c>
      <c r="J254" s="191" t="s">
        <v>297</v>
      </c>
    </row>
    <row r="255" spans="1:10" s="12" customFormat="1" ht="14.25" customHeight="1" x14ac:dyDescent="0.3">
      <c r="A255" s="9" t="s">
        <v>153</v>
      </c>
      <c r="B255" s="35"/>
      <c r="C255" s="35"/>
      <c r="D255" s="53"/>
      <c r="E255" s="153">
        <f>E247-E250-E251-E252-E253-E254</f>
        <v>4648771.5</v>
      </c>
      <c r="F255" s="153">
        <f>F247-SUM(F250:F254)</f>
        <v>0</v>
      </c>
      <c r="G255" s="153">
        <f>G247-SUM(G250:G254)</f>
        <v>0</v>
      </c>
      <c r="H255" s="94">
        <f>SUM(E255:G255)</f>
        <v>4648771.5</v>
      </c>
    </row>
    <row r="256" spans="1:10" x14ac:dyDescent="0.3">
      <c r="A256" s="12" t="s">
        <v>156</v>
      </c>
      <c r="B256" s="12"/>
      <c r="C256" s="12"/>
      <c r="D256" s="12"/>
      <c r="E256" s="105">
        <f>SUM(E254+E255+E259)/(E234+E239)</f>
        <v>4.9773209408324935E-2</v>
      </c>
      <c r="F256" s="46"/>
      <c r="G256" s="46" t="str">
        <f>IF(H256&gt;=$G$152,"Meets","Does not Meet")</f>
        <v>Meets</v>
      </c>
      <c r="H256" s="105">
        <f>SUM(H254+H255+H259)/(H234+H239)</f>
        <v>4.9773209408324935E-2</v>
      </c>
    </row>
    <row r="257" spans="1:9" ht="12.5" x14ac:dyDescent="0.25">
      <c r="A257" s="103" t="s">
        <v>158</v>
      </c>
      <c r="E257" s="44" t="str">
        <f>IF(E247&lt;&gt;ROUND(SUM(E250+E251+E252+E253+E254+E255),0),"Not in Balance","In Balance")</f>
        <v>In Balance</v>
      </c>
      <c r="H257" s="44" t="str">
        <f>IF(H247&lt;&gt;ROUND(SUM(H250+H251+H252+H253+H254+H255),0),"Not in Balance","In Balance")</f>
        <v>In Balance</v>
      </c>
    </row>
    <row r="258" spans="1:9" s="9" customFormat="1" x14ac:dyDescent="0.3">
      <c r="A258" s="103" t="s">
        <v>159</v>
      </c>
      <c r="B258"/>
      <c r="C258"/>
      <c r="D258"/>
      <c r="E258" s="78">
        <f>+E247-E253-E254-E255-E251-E252-E250</f>
        <v>0</v>
      </c>
      <c r="F258" s="28" t="str">
        <f>IF(AND(E258=0,H258=0),"OK","Undesignated Amount")</f>
        <v>OK</v>
      </c>
      <c r="G258" s="28"/>
      <c r="H258" s="78">
        <f>+H247-H253-H254-H255-H251-H252-H250</f>
        <v>0</v>
      </c>
    </row>
    <row r="259" spans="1:9" ht="12.5" x14ac:dyDescent="0.25">
      <c r="A259" s="35" t="s">
        <v>201</v>
      </c>
      <c r="B259" s="35"/>
      <c r="C259" s="35"/>
      <c r="D259" s="35"/>
      <c r="E259" s="208"/>
      <c r="F259" s="51"/>
      <c r="G259" s="51"/>
      <c r="H259" s="208"/>
      <c r="I259" s="35"/>
    </row>
    <row r="260" spans="1:9" ht="4.5" customHeight="1" x14ac:dyDescent="0.25">
      <c r="A260" s="35"/>
      <c r="B260" s="35"/>
      <c r="C260" s="35"/>
      <c r="D260" s="35"/>
      <c r="E260" s="206"/>
      <c r="F260" s="51"/>
      <c r="G260" s="51"/>
      <c r="H260" s="206"/>
    </row>
    <row r="261" spans="1:9" ht="21.75" customHeight="1" x14ac:dyDescent="0.3">
      <c r="A261" s="77" t="s">
        <v>235</v>
      </c>
      <c r="H261" s="76"/>
    </row>
    <row r="262" spans="1:9" ht="12.5" x14ac:dyDescent="0.25">
      <c r="A262" s="271"/>
      <c r="B262" s="242"/>
      <c r="C262" s="242"/>
      <c r="D262" s="242"/>
      <c r="E262" s="242"/>
      <c r="F262" s="242"/>
      <c r="G262" s="242"/>
      <c r="H262" s="243"/>
    </row>
    <row r="263" spans="1:9" ht="12.5" x14ac:dyDescent="0.25">
      <c r="A263" s="244"/>
      <c r="B263" s="245"/>
      <c r="C263" s="245"/>
      <c r="D263" s="245"/>
      <c r="E263" s="245"/>
      <c r="F263" s="245"/>
      <c r="G263" s="245"/>
      <c r="H263" s="246"/>
    </row>
    <row r="264" spans="1:9" ht="12.5" x14ac:dyDescent="0.25">
      <c r="A264" s="244"/>
      <c r="B264" s="245"/>
      <c r="C264" s="245"/>
      <c r="D264" s="245"/>
      <c r="E264" s="245"/>
      <c r="F264" s="245"/>
      <c r="G264" s="245"/>
      <c r="H264" s="246"/>
    </row>
    <row r="265" spans="1:9" ht="12.5" x14ac:dyDescent="0.25">
      <c r="A265" s="244"/>
      <c r="B265" s="245"/>
      <c r="C265" s="245"/>
      <c r="D265" s="245"/>
      <c r="E265" s="245"/>
      <c r="F265" s="245"/>
      <c r="G265" s="245"/>
      <c r="H265" s="246"/>
    </row>
    <row r="266" spans="1:9" ht="12.5" x14ac:dyDescent="0.25">
      <c r="A266" s="244"/>
      <c r="B266" s="245"/>
      <c r="C266" s="245"/>
      <c r="D266" s="245"/>
      <c r="E266" s="245"/>
      <c r="F266" s="245"/>
      <c r="G266" s="245"/>
      <c r="H266" s="246"/>
    </row>
    <row r="267" spans="1:9" ht="12.5" x14ac:dyDescent="0.25">
      <c r="A267" s="247"/>
      <c r="B267" s="248"/>
      <c r="C267" s="248"/>
      <c r="D267" s="248"/>
      <c r="E267" s="248"/>
      <c r="F267" s="248"/>
      <c r="G267" s="248"/>
      <c r="H267" s="249"/>
    </row>
    <row r="268" spans="1:9" ht="15.5" x14ac:dyDescent="0.35">
      <c r="E268" s="268" t="s">
        <v>312</v>
      </c>
      <c r="F268" s="269"/>
      <c r="G268" s="270"/>
    </row>
    <row r="269" spans="1:9" ht="12.5" x14ac:dyDescent="0.25">
      <c r="A269" s="35"/>
      <c r="B269" s="34"/>
      <c r="C269" s="34"/>
      <c r="D269" s="34"/>
      <c r="E269" s="155" t="s">
        <v>84</v>
      </c>
      <c r="F269" s="155" t="s">
        <v>85</v>
      </c>
      <c r="G269" s="155" t="s">
        <v>86</v>
      </c>
      <c r="H269" s="155" t="s">
        <v>87</v>
      </c>
    </row>
    <row r="270" spans="1:9" ht="58.9" customHeight="1" x14ac:dyDescent="0.25">
      <c r="A270" s="35"/>
      <c r="B270" s="34"/>
      <c r="C270" s="34"/>
      <c r="D270" s="34"/>
      <c r="E270" s="185" t="s">
        <v>314</v>
      </c>
      <c r="F270" s="254" t="s">
        <v>278</v>
      </c>
      <c r="G270" s="217" t="s">
        <v>279</v>
      </c>
      <c r="H270" s="254" t="s">
        <v>277</v>
      </c>
    </row>
    <row r="271" spans="1:9" ht="18.649999999999999" customHeight="1" x14ac:dyDescent="0.25">
      <c r="A271" s="35"/>
      <c r="B271" s="34"/>
      <c r="C271" s="34"/>
      <c r="D271" s="34"/>
      <c r="E271" s="186">
        <v>45199</v>
      </c>
      <c r="F271" s="255"/>
      <c r="G271" s="218"/>
      <c r="H271" s="255"/>
    </row>
    <row r="272" spans="1:9" x14ac:dyDescent="0.3">
      <c r="A272" s="45" t="s">
        <v>232</v>
      </c>
      <c r="B272" s="34"/>
      <c r="C272" s="34"/>
      <c r="D272" s="34"/>
      <c r="E272" s="205">
        <v>14431</v>
      </c>
      <c r="F272" s="154"/>
      <c r="G272" s="154"/>
      <c r="H272" s="205">
        <f>E272</f>
        <v>14431</v>
      </c>
    </row>
    <row r="273" spans="1:8" x14ac:dyDescent="0.3">
      <c r="A273" s="9" t="s">
        <v>194</v>
      </c>
      <c r="B273" s="34"/>
      <c r="C273" s="36"/>
      <c r="D273" s="30" t="s">
        <v>78</v>
      </c>
      <c r="E273" s="152">
        <v>182283251</v>
      </c>
      <c r="F273" s="152">
        <v>0</v>
      </c>
      <c r="G273" s="152">
        <v>0</v>
      </c>
      <c r="H273" s="107">
        <f>+E273+F273+G273</f>
        <v>182283251</v>
      </c>
    </row>
    <row r="274" spans="1:8" x14ac:dyDescent="0.3">
      <c r="A274" s="9" t="s">
        <v>79</v>
      </c>
      <c r="B274" s="34"/>
      <c r="C274" s="36"/>
      <c r="D274" s="30" t="s">
        <v>80</v>
      </c>
      <c r="E274" s="152">
        <f>232219698-E273</f>
        <v>49936447</v>
      </c>
      <c r="F274" s="152">
        <v>0</v>
      </c>
      <c r="G274" s="152">
        <v>0</v>
      </c>
      <c r="H274" s="107">
        <f>+E274+F274+G274</f>
        <v>49936447</v>
      </c>
    </row>
    <row r="275" spans="1:8" x14ac:dyDescent="0.3">
      <c r="B275" s="35"/>
      <c r="C275" s="35"/>
      <c r="D275" s="37" t="s">
        <v>81</v>
      </c>
      <c r="E275" s="94">
        <f>ROUND(SUM(E273:E274),0)</f>
        <v>232219698</v>
      </c>
      <c r="F275" s="94">
        <f>ROUND(SUM(F273:F274),0)</f>
        <v>0</v>
      </c>
      <c r="G275" s="94">
        <f>ROUND(SUM(G273:G274),0)</f>
        <v>0</v>
      </c>
      <c r="H275" s="94">
        <f>ROUND(SUM(H273:H274),0)</f>
        <v>232219698</v>
      </c>
    </row>
    <row r="276" spans="1:8" ht="9.75" customHeight="1" x14ac:dyDescent="0.3">
      <c r="B276" s="35"/>
      <c r="C276" s="35"/>
      <c r="D276" s="35"/>
      <c r="E276" s="95"/>
      <c r="F276" s="95"/>
      <c r="G276" s="95"/>
      <c r="H276" s="95"/>
    </row>
    <row r="277" spans="1:8" x14ac:dyDescent="0.3">
      <c r="A277" s="9" t="s">
        <v>88</v>
      </c>
      <c r="B277" s="35"/>
      <c r="C277" s="34"/>
      <c r="D277" s="34"/>
      <c r="E277" s="96"/>
      <c r="F277" s="96"/>
      <c r="G277" s="96"/>
      <c r="H277" s="108"/>
    </row>
    <row r="278" spans="1:8" x14ac:dyDescent="0.3">
      <c r="A278" s="9" t="s">
        <v>89</v>
      </c>
      <c r="B278" s="34"/>
      <c r="C278" s="34"/>
      <c r="D278" s="34"/>
      <c r="E278" s="152">
        <f>E227*1.015</f>
        <v>94786486.77382499</v>
      </c>
      <c r="F278" s="152">
        <f>F227*1.015</f>
        <v>0</v>
      </c>
      <c r="G278" s="203"/>
      <c r="H278" s="106">
        <f t="shared" ref="H278:H284" si="3">+E278+F278+G278</f>
        <v>94786486.77382499</v>
      </c>
    </row>
    <row r="279" spans="1:8" x14ac:dyDescent="0.3">
      <c r="A279" s="9" t="s">
        <v>90</v>
      </c>
      <c r="B279" s="34"/>
      <c r="C279" s="34"/>
      <c r="D279" s="34"/>
      <c r="E279" s="152">
        <f t="shared" ref="E279:E280" si="4">E228*1.015</f>
        <v>36188230.399474993</v>
      </c>
      <c r="F279" s="152">
        <v>0</v>
      </c>
      <c r="G279" s="152">
        <v>0</v>
      </c>
      <c r="H279" s="107">
        <f t="shared" si="3"/>
        <v>36188230.399474993</v>
      </c>
    </row>
    <row r="280" spans="1:8" x14ac:dyDescent="0.3">
      <c r="A280" s="9" t="s">
        <v>91</v>
      </c>
      <c r="B280" s="34"/>
      <c r="C280" s="34"/>
      <c r="D280" s="34"/>
      <c r="E280" s="152">
        <f t="shared" si="4"/>
        <v>69353608.601374984</v>
      </c>
      <c r="F280" s="152">
        <f>F229*1.015</f>
        <v>0</v>
      </c>
      <c r="G280" s="203"/>
      <c r="H280" s="107">
        <f t="shared" si="3"/>
        <v>69353608.601374984</v>
      </c>
    </row>
    <row r="281" spans="1:8" x14ac:dyDescent="0.3">
      <c r="A281" s="9" t="s">
        <v>92</v>
      </c>
      <c r="B281" s="34"/>
      <c r="C281" s="34"/>
      <c r="D281" s="34"/>
      <c r="E281" s="152">
        <v>12070830</v>
      </c>
      <c r="F281" s="152">
        <v>0</v>
      </c>
      <c r="G281" s="152">
        <v>0</v>
      </c>
      <c r="H281" s="107">
        <f t="shared" si="3"/>
        <v>12070830</v>
      </c>
    </row>
    <row r="282" spans="1:8" x14ac:dyDescent="0.3">
      <c r="A282" s="9" t="s">
        <v>93</v>
      </c>
      <c r="B282" s="34"/>
      <c r="C282" s="34"/>
      <c r="D282" s="34"/>
      <c r="E282" s="152">
        <v>22649315</v>
      </c>
      <c r="F282" s="152">
        <v>0</v>
      </c>
      <c r="G282" s="152">
        <v>0</v>
      </c>
      <c r="H282" s="107">
        <f t="shared" si="3"/>
        <v>22649315</v>
      </c>
    </row>
    <row r="283" spans="1:8" x14ac:dyDescent="0.3">
      <c r="A283" s="9" t="s">
        <v>94</v>
      </c>
      <c r="B283" s="34"/>
      <c r="C283" s="34"/>
      <c r="D283" s="34"/>
      <c r="E283" s="152">
        <v>1362980</v>
      </c>
      <c r="F283" s="152">
        <v>0</v>
      </c>
      <c r="G283" s="152">
        <v>0</v>
      </c>
      <c r="H283" s="107">
        <f t="shared" si="3"/>
        <v>1362980</v>
      </c>
    </row>
    <row r="284" spans="1:8" x14ac:dyDescent="0.3">
      <c r="A284" s="9" t="s">
        <v>95</v>
      </c>
      <c r="B284" s="34"/>
      <c r="C284" s="34"/>
      <c r="D284" s="34"/>
      <c r="E284" s="152">
        <v>102042</v>
      </c>
      <c r="F284" s="152">
        <v>0</v>
      </c>
      <c r="G284" s="152">
        <v>0</v>
      </c>
      <c r="H284" s="107">
        <f t="shared" si="3"/>
        <v>102042</v>
      </c>
    </row>
    <row r="285" spans="1:8" x14ac:dyDescent="0.3">
      <c r="B285" s="35"/>
      <c r="C285" s="35"/>
      <c r="D285" s="37" t="s">
        <v>81</v>
      </c>
      <c r="E285" s="94">
        <f>(ROUND(SUM(E278:E284),0))</f>
        <v>236513493</v>
      </c>
      <c r="F285" s="94">
        <f>(ROUND(SUM(F278:F284),0))</f>
        <v>0</v>
      </c>
      <c r="G285" s="94">
        <f>(ROUND(SUM(G278:G284),0))</f>
        <v>0</v>
      </c>
      <c r="H285" s="94">
        <f>(ROUND(SUM(H278:H284),0))</f>
        <v>236513493</v>
      </c>
    </row>
    <row r="286" spans="1:8" ht="8.25" customHeight="1" x14ac:dyDescent="0.3">
      <c r="B286" s="35"/>
      <c r="C286" s="35"/>
      <c r="D286" s="35"/>
      <c r="E286" s="95"/>
      <c r="F286" s="95"/>
      <c r="G286" s="95"/>
      <c r="H286" s="99"/>
    </row>
    <row r="287" spans="1:8" x14ac:dyDescent="0.3">
      <c r="A287" s="9" t="s">
        <v>233</v>
      </c>
      <c r="B287" s="34"/>
      <c r="C287" s="34"/>
      <c r="D287" s="34"/>
      <c r="E287" s="94">
        <f>+E275-E285</f>
        <v>-4293795</v>
      </c>
      <c r="F287" s="94">
        <f>+F275-F285</f>
        <v>0</v>
      </c>
      <c r="G287" s="94">
        <f>+G275-G285</f>
        <v>0</v>
      </c>
      <c r="H287" s="94">
        <f>+H275-H285</f>
        <v>-4293795</v>
      </c>
    </row>
    <row r="288" spans="1:8" ht="9.75" customHeight="1" x14ac:dyDescent="0.3">
      <c r="B288" s="34"/>
      <c r="C288" s="34"/>
      <c r="D288" s="34"/>
      <c r="E288" s="96"/>
      <c r="F288" s="96"/>
      <c r="G288" s="96"/>
      <c r="H288" s="109"/>
    </row>
    <row r="289" spans="1:8" x14ac:dyDescent="0.3">
      <c r="A289" s="9" t="s">
        <v>96</v>
      </c>
      <c r="B289" s="34"/>
      <c r="C289" s="34"/>
      <c r="D289" s="34"/>
      <c r="E289" s="152">
        <v>0</v>
      </c>
      <c r="F289" s="152">
        <v>0</v>
      </c>
      <c r="G289" s="152">
        <v>0</v>
      </c>
      <c r="H289" s="106">
        <f>+E289+F289+G289</f>
        <v>0</v>
      </c>
    </row>
    <row r="290" spans="1:8" x14ac:dyDescent="0.3">
      <c r="A290" s="9" t="s">
        <v>97</v>
      </c>
      <c r="B290" s="34"/>
      <c r="C290" s="34"/>
      <c r="D290" s="34"/>
      <c r="E290" s="152">
        <v>0</v>
      </c>
      <c r="F290" s="152">
        <v>0</v>
      </c>
      <c r="G290" s="152">
        <v>0</v>
      </c>
      <c r="H290" s="107">
        <f>+E290+F290+G290</f>
        <v>0</v>
      </c>
    </row>
    <row r="291" spans="1:8" x14ac:dyDescent="0.3">
      <c r="A291" s="45" t="s">
        <v>215</v>
      </c>
      <c r="B291" s="34"/>
      <c r="C291" s="34"/>
      <c r="D291" s="34"/>
      <c r="E291" s="101"/>
      <c r="F291" s="97"/>
      <c r="G291" s="97"/>
      <c r="H291" s="97"/>
    </row>
    <row r="292" spans="1:8" x14ac:dyDescent="0.3">
      <c r="A292" s="45" t="s">
        <v>213</v>
      </c>
      <c r="B292" s="34"/>
      <c r="C292" s="34"/>
      <c r="D292" s="34"/>
      <c r="E292" s="98">
        <f>+E287+E289-E290</f>
        <v>-4293795</v>
      </c>
      <c r="F292" s="98">
        <f>+F287+F289-F290</f>
        <v>0</v>
      </c>
      <c r="G292" s="98">
        <f>+G287+G289-G290</f>
        <v>0</v>
      </c>
      <c r="H292" s="98">
        <f>+H287+H289-H290</f>
        <v>-4293795</v>
      </c>
    </row>
    <row r="293" spans="1:8" x14ac:dyDescent="0.3">
      <c r="B293" s="34"/>
      <c r="C293" s="34"/>
      <c r="D293" s="34"/>
      <c r="E293" s="99"/>
      <c r="F293" s="99"/>
      <c r="G293" s="99"/>
      <c r="H293" s="99"/>
    </row>
    <row r="294" spans="1:8" ht="26.25" customHeight="1" x14ac:dyDescent="0.3">
      <c r="A294" s="239" t="s">
        <v>237</v>
      </c>
      <c r="B294" s="239"/>
      <c r="C294" s="239"/>
      <c r="D294" s="240"/>
      <c r="E294" s="207">
        <f>H247</f>
        <v>57571901</v>
      </c>
      <c r="F294" s="142" t="s">
        <v>54</v>
      </c>
      <c r="G294" s="142"/>
      <c r="H294" s="106">
        <f>H247</f>
        <v>57571901</v>
      </c>
    </row>
    <row r="295" spans="1:8" x14ac:dyDescent="0.3">
      <c r="A295" s="9" t="s">
        <v>157</v>
      </c>
      <c r="B295" s="34"/>
      <c r="C295" s="34"/>
      <c r="D295" s="34"/>
      <c r="E295" s="142"/>
      <c r="F295" s="142" t="s">
        <v>54</v>
      </c>
      <c r="G295" s="142"/>
      <c r="H295" s="107">
        <f>E295</f>
        <v>0</v>
      </c>
    </row>
    <row r="296" spans="1:8" x14ac:dyDescent="0.3">
      <c r="A296" s="9" t="s">
        <v>83</v>
      </c>
      <c r="B296" s="34"/>
      <c r="C296" s="34"/>
      <c r="D296" s="34"/>
      <c r="E296" s="94">
        <f>+E294+E295</f>
        <v>57571901</v>
      </c>
      <c r="F296" s="143"/>
      <c r="G296" s="143"/>
      <c r="H296" s="94">
        <f>+H294+H295</f>
        <v>57571901</v>
      </c>
    </row>
    <row r="297" spans="1:8" x14ac:dyDescent="0.3">
      <c r="A297" s="33"/>
      <c r="B297" s="38"/>
      <c r="C297" s="38"/>
      <c r="D297" s="38"/>
      <c r="E297" s="100"/>
      <c r="F297" s="100"/>
      <c r="G297" s="100"/>
      <c r="H297" s="100"/>
    </row>
    <row r="298" spans="1:8" x14ac:dyDescent="0.3">
      <c r="A298" s="9" t="s">
        <v>154</v>
      </c>
      <c r="B298" s="35"/>
      <c r="C298" s="35"/>
      <c r="D298" s="35"/>
      <c r="E298" s="98">
        <f>ROUND(SUM(+E292+E296),0)</f>
        <v>53278106</v>
      </c>
      <c r="F298" s="98">
        <f>ROUND(SUM(+F292+F296),0)</f>
        <v>0</v>
      </c>
      <c r="G298" s="98">
        <f>ROUND(SUM(+G292+G296),0)</f>
        <v>0</v>
      </c>
      <c r="H298" s="98">
        <f>ROUND(SUM(+H292+H296),0)</f>
        <v>53278106</v>
      </c>
    </row>
    <row r="299" spans="1:8" x14ac:dyDescent="0.3">
      <c r="B299" s="35"/>
      <c r="C299" s="35"/>
      <c r="D299" s="35"/>
      <c r="E299" s="95"/>
      <c r="F299" s="95"/>
      <c r="G299" s="95"/>
      <c r="H299" s="95"/>
    </row>
    <row r="300" spans="1:8" x14ac:dyDescent="0.3">
      <c r="A300" s="9" t="s">
        <v>216</v>
      </c>
      <c r="B300" s="34"/>
      <c r="C300" s="34"/>
      <c r="D300" s="34"/>
      <c r="E300" s="110"/>
      <c r="F300" s="96"/>
      <c r="G300" s="96"/>
      <c r="H300" s="111"/>
    </row>
    <row r="301" spans="1:8" x14ac:dyDescent="0.3">
      <c r="A301" s="9" t="s">
        <v>148</v>
      </c>
      <c r="B301" s="35"/>
      <c r="C301" s="35"/>
      <c r="D301" s="53"/>
      <c r="E301" s="152">
        <f>H250</f>
        <v>176403</v>
      </c>
      <c r="F301" s="152">
        <v>0</v>
      </c>
      <c r="G301" s="152">
        <v>0</v>
      </c>
      <c r="H301" s="107">
        <f>SUM(E301:G301)</f>
        <v>176403</v>
      </c>
    </row>
    <row r="302" spans="1:8" x14ac:dyDescent="0.3">
      <c r="A302" s="9" t="s">
        <v>149</v>
      </c>
      <c r="B302" s="9"/>
      <c r="C302" s="35"/>
      <c r="D302" s="35"/>
      <c r="E302" s="152">
        <v>37334861</v>
      </c>
      <c r="F302" s="152">
        <v>0</v>
      </c>
      <c r="G302" s="152">
        <v>0</v>
      </c>
      <c r="H302" s="107">
        <f>SUM(E302:G302)</f>
        <v>37334861</v>
      </c>
    </row>
    <row r="303" spans="1:8" x14ac:dyDescent="0.3">
      <c r="A303" s="9" t="s">
        <v>150</v>
      </c>
      <c r="B303" s="35"/>
      <c r="C303" s="35"/>
      <c r="D303" s="53"/>
      <c r="E303" s="152">
        <f t="shared" ref="E303" si="5">H252</f>
        <v>1200000</v>
      </c>
      <c r="F303" s="152">
        <v>0</v>
      </c>
      <c r="G303" s="152">
        <v>0</v>
      </c>
      <c r="H303" s="107">
        <f>SUM(E303:G303)</f>
        <v>1200000</v>
      </c>
    </row>
    <row r="304" spans="1:8" x14ac:dyDescent="0.3">
      <c r="A304" s="9" t="s">
        <v>151</v>
      </c>
      <c r="B304" s="35"/>
      <c r="C304" s="35"/>
      <c r="D304" s="53"/>
      <c r="E304" s="152">
        <v>5000000</v>
      </c>
      <c r="F304" s="152">
        <v>0</v>
      </c>
      <c r="G304" s="152">
        <v>0</v>
      </c>
      <c r="H304" s="107">
        <f>SUM(E304:G304)</f>
        <v>5000000</v>
      </c>
    </row>
    <row r="305" spans="1:10" ht="12.75" customHeight="1" x14ac:dyDescent="0.3">
      <c r="A305" s="239" t="s">
        <v>152</v>
      </c>
      <c r="B305" s="239"/>
      <c r="C305" s="239"/>
      <c r="D305" s="240"/>
      <c r="E305" s="153">
        <f>SUM(E285+E290)*$G$152</f>
        <v>7095404.79</v>
      </c>
      <c r="F305" s="153">
        <f>SUM(F285+F290)*$G$152</f>
        <v>0</v>
      </c>
      <c r="G305" s="153">
        <f>SUM(G285+G290)*$G$152</f>
        <v>0</v>
      </c>
      <c r="H305" s="94">
        <f>SUM(H285+H290)*G152</f>
        <v>7095404.79</v>
      </c>
      <c r="I305" s="190">
        <f>H298-SUM(H301:H305)</f>
        <v>2471437.2100000009</v>
      </c>
      <c r="J305" s="191" t="s">
        <v>297</v>
      </c>
    </row>
    <row r="306" spans="1:10" s="12" customFormat="1" ht="14.25" customHeight="1" x14ac:dyDescent="0.3">
      <c r="A306" s="9" t="s">
        <v>153</v>
      </c>
      <c r="B306" s="35"/>
      <c r="C306" s="35"/>
      <c r="D306" s="53"/>
      <c r="E306" s="153">
        <f>E298-E301-E302-E303-E304-E305</f>
        <v>2471437.21</v>
      </c>
      <c r="F306" s="153">
        <f>F298-SUM(F301:F305)</f>
        <v>0</v>
      </c>
      <c r="G306" s="153">
        <f>G298-SUM(G301:G305)</f>
        <v>0</v>
      </c>
      <c r="H306" s="94">
        <f>SUM(E306:G306)</f>
        <v>2471437.21</v>
      </c>
    </row>
    <row r="307" spans="1:10" x14ac:dyDescent="0.3">
      <c r="A307" s="12" t="s">
        <v>156</v>
      </c>
      <c r="B307" s="12"/>
      <c r="C307" s="12"/>
      <c r="D307" s="12"/>
      <c r="E307" s="105">
        <f>SUM(E305+E306+E310)/(E285+E290)</f>
        <v>4.0449455456649144E-2</v>
      </c>
      <c r="F307" s="46"/>
      <c r="G307" s="46" t="str">
        <f>IF(H307&gt;=$G$152,"Meets","Does not Meet")</f>
        <v>Meets</v>
      </c>
      <c r="H307" s="105">
        <f>SUM(H305+H306+H310)/(H285+H290)</f>
        <v>4.0449455456649144E-2</v>
      </c>
    </row>
    <row r="308" spans="1:10" ht="12.5" x14ac:dyDescent="0.25">
      <c r="A308" s="103" t="s">
        <v>158</v>
      </c>
      <c r="E308" s="44" t="str">
        <f>IF(E298&lt;&gt;ROUND(SUM(E301+E302+E303+E304+E305+E306),0),"Not in Balance","In Balance")</f>
        <v>In Balance</v>
      </c>
      <c r="H308" s="44" t="str">
        <f>IF(H298&lt;&gt;ROUND(SUM(H301+H302+H303+H304+H305+H306),0),"Not in Balance","In Balance")</f>
        <v>In Balance</v>
      </c>
    </row>
    <row r="309" spans="1:10" s="9" customFormat="1" x14ac:dyDescent="0.3">
      <c r="A309" s="103" t="s">
        <v>159</v>
      </c>
      <c r="B309"/>
      <c r="C309"/>
      <c r="D309"/>
      <c r="E309" s="104">
        <f>+E298-E304-E305-E306-E302-E303-E301</f>
        <v>0</v>
      </c>
      <c r="F309" s="28" t="str">
        <f>IF(AND(E309=0,H309=0),"OK","Undesignated Amount")</f>
        <v>OK</v>
      </c>
      <c r="G309" s="28"/>
      <c r="H309" s="104">
        <f>+H298-H304-H305-H306-H302-H303-H301</f>
        <v>0</v>
      </c>
    </row>
    <row r="310" spans="1:10" s="9" customFormat="1" x14ac:dyDescent="0.3">
      <c r="A310" s="35" t="s">
        <v>201</v>
      </c>
      <c r="B310" s="35"/>
      <c r="C310" s="35"/>
      <c r="D310" s="35"/>
      <c r="E310" s="208"/>
      <c r="F310" s="51"/>
      <c r="G310" s="51"/>
      <c r="H310" s="208"/>
      <c r="I310" s="35"/>
    </row>
    <row r="311" spans="1:10" ht="21.75" customHeight="1" x14ac:dyDescent="0.3">
      <c r="A311" s="77" t="s">
        <v>238</v>
      </c>
    </row>
    <row r="312" spans="1:10" ht="12.5" x14ac:dyDescent="0.25">
      <c r="A312" s="271"/>
      <c r="B312" s="242"/>
      <c r="C312" s="242"/>
      <c r="D312" s="242"/>
      <c r="E312" s="242"/>
      <c r="F312" s="242"/>
      <c r="G312" s="242"/>
      <c r="H312" s="243"/>
    </row>
    <row r="313" spans="1:10" ht="12.5" x14ac:dyDescent="0.25">
      <c r="A313" s="244"/>
      <c r="B313" s="245"/>
      <c r="C313" s="245"/>
      <c r="D313" s="245"/>
      <c r="E313" s="245"/>
      <c r="F313" s="245"/>
      <c r="G313" s="245"/>
      <c r="H313" s="246"/>
    </row>
    <row r="314" spans="1:10" ht="12.5" x14ac:dyDescent="0.25">
      <c r="A314" s="244"/>
      <c r="B314" s="245"/>
      <c r="C314" s="245"/>
      <c r="D314" s="245"/>
      <c r="E314" s="245"/>
      <c r="F314" s="245"/>
      <c r="G314" s="245"/>
      <c r="H314" s="246"/>
    </row>
    <row r="315" spans="1:10" ht="12.5" x14ac:dyDescent="0.25">
      <c r="A315" s="244"/>
      <c r="B315" s="245"/>
      <c r="C315" s="245"/>
      <c r="D315" s="245"/>
      <c r="E315" s="245"/>
      <c r="F315" s="245"/>
      <c r="G315" s="245"/>
      <c r="H315" s="246"/>
    </row>
    <row r="316" spans="1:10" ht="12.5" x14ac:dyDescent="0.25">
      <c r="A316" s="244"/>
      <c r="B316" s="245"/>
      <c r="C316" s="245"/>
      <c r="D316" s="245"/>
      <c r="E316" s="245"/>
      <c r="F316" s="245"/>
      <c r="G316" s="245"/>
      <c r="H316" s="246"/>
    </row>
    <row r="317" spans="1:10" ht="12.5" x14ac:dyDescent="0.25">
      <c r="A317" s="244"/>
      <c r="B317" s="245"/>
      <c r="C317" s="245"/>
      <c r="D317" s="245"/>
      <c r="E317" s="245"/>
      <c r="F317" s="245"/>
      <c r="G317" s="245"/>
      <c r="H317" s="246"/>
    </row>
    <row r="318" spans="1:10" ht="12.5" x14ac:dyDescent="0.25">
      <c r="A318" s="247"/>
      <c r="B318" s="248"/>
      <c r="C318" s="248"/>
      <c r="D318" s="248"/>
      <c r="E318" s="248"/>
      <c r="F318" s="248"/>
      <c r="G318" s="248"/>
      <c r="H318" s="249"/>
    </row>
    <row r="319" spans="1:10" x14ac:dyDescent="0.3">
      <c r="A319" s="9" t="s">
        <v>36</v>
      </c>
      <c r="B319" s="290" t="s">
        <v>239</v>
      </c>
      <c r="C319" s="224"/>
      <c r="D319" s="224"/>
      <c r="E319" s="224"/>
      <c r="F319" s="224"/>
      <c r="G319" s="224"/>
      <c r="H319" s="224"/>
    </row>
    <row r="320" spans="1:10" ht="29.25" customHeight="1" x14ac:dyDescent="0.3">
      <c r="B320" s="291"/>
      <c r="C320" s="291"/>
      <c r="D320" s="291"/>
      <c r="E320" s="291"/>
      <c r="F320" s="291"/>
      <c r="G320" s="291"/>
      <c r="H320" s="291"/>
    </row>
    <row r="321" spans="1:8" x14ac:dyDescent="0.3">
      <c r="B321" s="356"/>
      <c r="C321" s="242"/>
      <c r="D321" s="242"/>
      <c r="E321" s="242"/>
      <c r="F321" s="242"/>
      <c r="G321" s="242"/>
      <c r="H321" s="243"/>
    </row>
    <row r="322" spans="1:8" x14ac:dyDescent="0.3">
      <c r="B322" s="244"/>
      <c r="C322" s="245"/>
      <c r="D322" s="245"/>
      <c r="E322" s="245"/>
      <c r="F322" s="245"/>
      <c r="G322" s="245"/>
      <c r="H322" s="246"/>
    </row>
    <row r="323" spans="1:8" x14ac:dyDescent="0.3">
      <c r="B323" s="244"/>
      <c r="C323" s="245"/>
      <c r="D323" s="245"/>
      <c r="E323" s="245"/>
      <c r="F323" s="245"/>
      <c r="G323" s="245"/>
      <c r="H323" s="246"/>
    </row>
    <row r="324" spans="1:8" x14ac:dyDescent="0.3">
      <c r="B324" s="247"/>
      <c r="C324" s="248"/>
      <c r="D324" s="248"/>
      <c r="E324" s="248"/>
      <c r="F324" s="248"/>
      <c r="G324" s="248"/>
      <c r="H324" s="249"/>
    </row>
    <row r="325" spans="1:8" x14ac:dyDescent="0.3">
      <c r="B325" s="10"/>
      <c r="C325" s="10"/>
      <c r="D325" s="10"/>
      <c r="E325" s="10"/>
      <c r="F325" s="10"/>
      <c r="G325" s="10"/>
      <c r="H325" s="10"/>
    </row>
    <row r="327" spans="1:8" ht="15" customHeight="1" x14ac:dyDescent="0.3">
      <c r="A327" s="9" t="s">
        <v>37</v>
      </c>
      <c r="B327" s="362" t="s">
        <v>241</v>
      </c>
      <c r="C327" s="239"/>
      <c r="D327" s="239"/>
      <c r="E327" s="239"/>
      <c r="F327" s="239"/>
      <c r="G327" s="239"/>
      <c r="H327" s="239"/>
    </row>
    <row r="328" spans="1:8" ht="39" customHeight="1" x14ac:dyDescent="0.3">
      <c r="B328" s="363"/>
      <c r="C328" s="363"/>
      <c r="D328" s="363"/>
      <c r="E328" s="363"/>
      <c r="F328" s="363"/>
      <c r="G328" s="363"/>
      <c r="H328" s="363"/>
    </row>
    <row r="329" spans="1:8" x14ac:dyDescent="0.3">
      <c r="B329" s="357" t="s">
        <v>303</v>
      </c>
      <c r="C329" s="257"/>
      <c r="D329" s="257"/>
      <c r="E329" s="257"/>
      <c r="F329" s="257"/>
      <c r="G329" s="257"/>
      <c r="H329" s="258"/>
    </row>
    <row r="330" spans="1:8" x14ac:dyDescent="0.3">
      <c r="B330" s="259"/>
      <c r="C330" s="260"/>
      <c r="D330" s="260"/>
      <c r="E330" s="260"/>
      <c r="F330" s="260"/>
      <c r="G330" s="260"/>
      <c r="H330" s="261"/>
    </row>
    <row r="331" spans="1:8" ht="12.25" customHeight="1" x14ac:dyDescent="0.3">
      <c r="B331" s="259"/>
      <c r="C331" s="260"/>
      <c r="D331" s="260"/>
      <c r="E331" s="260"/>
      <c r="F331" s="260"/>
      <c r="G331" s="260"/>
      <c r="H331" s="261"/>
    </row>
    <row r="332" spans="1:8" ht="12.25" customHeight="1" x14ac:dyDescent="0.3">
      <c r="B332" s="262"/>
      <c r="C332" s="263"/>
      <c r="D332" s="263"/>
      <c r="E332" s="263"/>
      <c r="F332" s="263"/>
      <c r="G332" s="263"/>
      <c r="H332" s="264"/>
    </row>
    <row r="333" spans="1:8" ht="12.25" customHeight="1" x14ac:dyDescent="0.3">
      <c r="B333" s="163"/>
      <c r="C333" s="163"/>
      <c r="D333" s="163"/>
      <c r="E333" s="163"/>
      <c r="F333" s="163"/>
      <c r="G333" s="163"/>
      <c r="H333" s="163"/>
    </row>
    <row r="335" spans="1:8" x14ac:dyDescent="0.3">
      <c r="A335" s="9" t="s">
        <v>58</v>
      </c>
      <c r="B335" s="265" t="s">
        <v>240</v>
      </c>
      <c r="C335" s="265"/>
      <c r="D335" s="265"/>
      <c r="E335" s="265"/>
      <c r="F335" s="265"/>
      <c r="G335" s="265"/>
      <c r="H335" s="265"/>
    </row>
    <row r="336" spans="1:8" ht="28.9" customHeight="1" x14ac:dyDescent="0.3">
      <c r="B336" s="266"/>
      <c r="C336" s="266"/>
      <c r="D336" s="266"/>
      <c r="E336" s="266"/>
      <c r="F336" s="266"/>
      <c r="G336" s="266"/>
      <c r="H336" s="266"/>
    </row>
    <row r="337" spans="1:8" ht="14.5" customHeight="1" x14ac:dyDescent="0.3">
      <c r="B337" s="357" t="s">
        <v>315</v>
      </c>
      <c r="C337" s="257"/>
      <c r="D337" s="257"/>
      <c r="E337" s="257"/>
      <c r="F337" s="257"/>
      <c r="G337" s="257"/>
      <c r="H337" s="258"/>
    </row>
    <row r="338" spans="1:8" x14ac:dyDescent="0.3">
      <c r="B338" s="259"/>
      <c r="C338" s="260"/>
      <c r="D338" s="260"/>
      <c r="E338" s="260"/>
      <c r="F338" s="260"/>
      <c r="G338" s="260"/>
      <c r="H338" s="261"/>
    </row>
    <row r="339" spans="1:8" x14ac:dyDescent="0.3">
      <c r="B339" s="259"/>
      <c r="C339" s="260"/>
      <c r="D339" s="260"/>
      <c r="E339" s="260"/>
      <c r="F339" s="260"/>
      <c r="G339" s="260"/>
      <c r="H339" s="261"/>
    </row>
    <row r="340" spans="1:8" x14ac:dyDescent="0.3">
      <c r="B340" s="259"/>
      <c r="C340" s="260"/>
      <c r="D340" s="260"/>
      <c r="E340" s="260"/>
      <c r="F340" s="260"/>
      <c r="G340" s="260"/>
      <c r="H340" s="261"/>
    </row>
    <row r="341" spans="1:8" ht="12" customHeight="1" x14ac:dyDescent="0.3">
      <c r="B341" s="262"/>
      <c r="C341" s="263"/>
      <c r="D341" s="263"/>
      <c r="E341" s="263"/>
      <c r="F341" s="263"/>
      <c r="G341" s="263"/>
      <c r="H341" s="264"/>
    </row>
    <row r="342" spans="1:8" ht="12.25" customHeight="1" x14ac:dyDescent="0.3">
      <c r="B342" s="170"/>
      <c r="C342" s="3"/>
      <c r="D342" s="3"/>
      <c r="E342" s="3"/>
      <c r="F342" s="3"/>
      <c r="G342" s="3"/>
      <c r="H342" s="3"/>
    </row>
    <row r="343" spans="1:8" ht="12.25" customHeight="1" x14ac:dyDescent="0.3">
      <c r="B343" s="9"/>
    </row>
    <row r="344" spans="1:8" ht="27" customHeight="1" x14ac:dyDescent="0.3">
      <c r="A344" s="126" t="s">
        <v>16</v>
      </c>
      <c r="B344" s="354" t="s">
        <v>242</v>
      </c>
      <c r="C344" s="354"/>
      <c r="D344" s="354"/>
      <c r="E344" s="354"/>
      <c r="F344" s="354"/>
      <c r="G344" s="354"/>
      <c r="H344" s="354"/>
    </row>
    <row r="345" spans="1:8" x14ac:dyDescent="0.3">
      <c r="B345" s="256" t="s">
        <v>302</v>
      </c>
      <c r="C345" s="257"/>
      <c r="D345" s="257"/>
      <c r="E345" s="257"/>
      <c r="F345" s="257"/>
      <c r="G345" s="257"/>
      <c r="H345" s="258"/>
    </row>
    <row r="346" spans="1:8" x14ac:dyDescent="0.3">
      <c r="B346" s="259"/>
      <c r="C346" s="260"/>
      <c r="D346" s="260"/>
      <c r="E346" s="260"/>
      <c r="F346" s="260"/>
      <c r="G346" s="260"/>
      <c r="H346" s="261"/>
    </row>
    <row r="347" spans="1:8" x14ac:dyDescent="0.3">
      <c r="B347" s="259"/>
      <c r="C347" s="260"/>
      <c r="D347" s="260"/>
      <c r="E347" s="260"/>
      <c r="F347" s="260"/>
      <c r="G347" s="260"/>
      <c r="H347" s="261"/>
    </row>
    <row r="348" spans="1:8" x14ac:dyDescent="0.3">
      <c r="B348" s="259"/>
      <c r="C348" s="260"/>
      <c r="D348" s="260"/>
      <c r="E348" s="260"/>
      <c r="F348" s="260"/>
      <c r="G348" s="260"/>
      <c r="H348" s="261"/>
    </row>
    <row r="349" spans="1:8" x14ac:dyDescent="0.3">
      <c r="B349" s="262"/>
      <c r="C349" s="263"/>
      <c r="D349" s="263"/>
      <c r="E349" s="263"/>
      <c r="F349" s="263"/>
      <c r="G349" s="263"/>
      <c r="H349" s="264"/>
    </row>
    <row r="350" spans="1:8" x14ac:dyDescent="0.3">
      <c r="B350" s="355"/>
      <c r="C350" s="355"/>
      <c r="D350" s="355"/>
      <c r="E350" s="355"/>
      <c r="F350" s="355"/>
      <c r="G350" s="355"/>
      <c r="H350" s="355"/>
    </row>
    <row r="351" spans="1:8" x14ac:dyDescent="0.3">
      <c r="A351" s="358" t="s">
        <v>118</v>
      </c>
      <c r="B351" s="358"/>
      <c r="C351" s="358"/>
      <c r="D351" s="358"/>
      <c r="E351" s="358"/>
      <c r="F351" s="358"/>
      <c r="G351" s="358"/>
      <c r="H351" s="358"/>
    </row>
    <row r="352" spans="1:8" ht="4.5" customHeight="1" x14ac:dyDescent="0.3"/>
    <row r="353" spans="1:9" x14ac:dyDescent="0.3">
      <c r="B353" s="253" t="s">
        <v>243</v>
      </c>
      <c r="C353" s="253"/>
      <c r="D353" s="253"/>
      <c r="E353" s="253"/>
      <c r="F353" s="253"/>
      <c r="G353" s="253"/>
      <c r="H353" s="253"/>
    </row>
    <row r="354" spans="1:9" x14ac:dyDescent="0.3">
      <c r="B354" s="253"/>
      <c r="C354" s="253"/>
      <c r="D354" s="253"/>
      <c r="E354" s="253"/>
      <c r="F354" s="253"/>
      <c r="G354" s="253"/>
      <c r="H354" s="253"/>
    </row>
    <row r="355" spans="1:9" x14ac:dyDescent="0.3">
      <c r="B355" s="253"/>
      <c r="C355" s="253"/>
      <c r="D355" s="253"/>
      <c r="E355" s="253"/>
      <c r="F355" s="253"/>
      <c r="G355" s="253"/>
      <c r="H355" s="253"/>
    </row>
    <row r="356" spans="1:9" x14ac:dyDescent="0.3">
      <c r="B356" s="253"/>
      <c r="C356" s="253"/>
      <c r="D356" s="253"/>
      <c r="E356" s="253"/>
      <c r="F356" s="253"/>
      <c r="G356" s="253"/>
      <c r="H356" s="253"/>
    </row>
    <row r="357" spans="1:9" ht="7.5" customHeight="1" x14ac:dyDescent="0.3">
      <c r="B357" s="10"/>
      <c r="C357" s="10"/>
      <c r="D357" s="10"/>
      <c r="E357" s="10"/>
      <c r="F357" s="10"/>
      <c r="G357" s="10"/>
      <c r="H357" s="10"/>
    </row>
    <row r="358" spans="1:9" ht="26.25" customHeight="1" x14ac:dyDescent="0.3">
      <c r="A358" s="126" t="s">
        <v>114</v>
      </c>
      <c r="B358" s="239" t="s">
        <v>244</v>
      </c>
      <c r="C358" s="239"/>
      <c r="D358" s="239"/>
      <c r="E358" s="239"/>
      <c r="F358" s="239"/>
      <c r="G358" s="239"/>
      <c r="H358" s="239"/>
    </row>
    <row r="359" spans="1:9" ht="6" customHeight="1" x14ac:dyDescent="0.3"/>
    <row r="360" spans="1:9" x14ac:dyDescent="0.3">
      <c r="B360" s="52" t="s">
        <v>257</v>
      </c>
      <c r="C360" t="s">
        <v>258</v>
      </c>
      <c r="H360" s="125" t="s">
        <v>17</v>
      </c>
    </row>
    <row r="361" spans="1:9" ht="18.75" customHeight="1" x14ac:dyDescent="0.3">
      <c r="C361" s="359" t="s">
        <v>207</v>
      </c>
      <c r="D361" s="360"/>
      <c r="E361" s="360"/>
      <c r="F361" s="360"/>
      <c r="G361" s="361"/>
      <c r="H361" s="150">
        <f>E173/E172</f>
        <v>11396.685094425929</v>
      </c>
    </row>
    <row r="362" spans="1:9" x14ac:dyDescent="0.3">
      <c r="B362" s="52" t="s">
        <v>259</v>
      </c>
      <c r="C362" s="13" t="s">
        <v>260</v>
      </c>
      <c r="G362" s="115"/>
      <c r="H362" s="125"/>
    </row>
    <row r="363" spans="1:9" x14ac:dyDescent="0.3">
      <c r="C363" s="131" t="s">
        <v>208</v>
      </c>
      <c r="H363" s="150">
        <f>156131686/14459</f>
        <v>10798.235424303202</v>
      </c>
      <c r="I363" s="209"/>
    </row>
    <row r="364" spans="1:9" ht="4.5" customHeight="1" x14ac:dyDescent="0.3">
      <c r="H364" s="2"/>
    </row>
    <row r="365" spans="1:9" x14ac:dyDescent="0.3">
      <c r="B365" s="171" t="s">
        <v>245</v>
      </c>
      <c r="C365" s="13" t="s">
        <v>161</v>
      </c>
      <c r="H365" s="2"/>
    </row>
    <row r="366" spans="1:9" x14ac:dyDescent="0.3">
      <c r="C366" s="52" t="s">
        <v>250</v>
      </c>
      <c r="H366" s="113">
        <f>+H361-H363</f>
        <v>598.44967012272718</v>
      </c>
    </row>
    <row r="367" spans="1:9" ht="5.25" customHeight="1" x14ac:dyDescent="0.3"/>
    <row r="368" spans="1:9" x14ac:dyDescent="0.3">
      <c r="B368" s="52" t="s">
        <v>246</v>
      </c>
      <c r="C368" s="13" t="s">
        <v>195</v>
      </c>
    </row>
    <row r="369" spans="1:8" x14ac:dyDescent="0.3">
      <c r="C369" s="52" t="s">
        <v>251</v>
      </c>
      <c r="H369" s="86">
        <f>+H366/H363</f>
        <v>5.5421061553799604E-2</v>
      </c>
    </row>
    <row r="370" spans="1:8" ht="5.25" customHeight="1" x14ac:dyDescent="0.3">
      <c r="H370" s="1"/>
    </row>
    <row r="371" spans="1:8" ht="12" customHeight="1" x14ac:dyDescent="0.3">
      <c r="B371" s="52" t="s">
        <v>247</v>
      </c>
      <c r="C371" t="s">
        <v>160</v>
      </c>
      <c r="H371" s="127">
        <f>SUM(G372-G373)/G373</f>
        <v>-2.5907065563335455E-2</v>
      </c>
    </row>
    <row r="372" spans="1:8" ht="26.25" customHeight="1" x14ac:dyDescent="0.3">
      <c r="C372" s="226" t="s">
        <v>252</v>
      </c>
      <c r="D372" s="348"/>
      <c r="E372" s="348"/>
      <c r="F372" s="349"/>
      <c r="G372" s="151">
        <v>15303</v>
      </c>
      <c r="H372" s="1"/>
    </row>
    <row r="373" spans="1:8" ht="19.5" customHeight="1" x14ac:dyDescent="0.3">
      <c r="C373" s="226" t="s">
        <v>253</v>
      </c>
      <c r="D373" s="348"/>
      <c r="E373" s="348"/>
      <c r="F373" s="348"/>
      <c r="G373" s="151">
        <v>15710</v>
      </c>
      <c r="H373" s="1"/>
    </row>
    <row r="374" spans="1:8" ht="5.25" customHeight="1" x14ac:dyDescent="0.3">
      <c r="C374" s="348"/>
      <c r="D374" s="348"/>
      <c r="E374" s="348"/>
      <c r="F374" s="348"/>
      <c r="H374" s="1"/>
    </row>
    <row r="375" spans="1:8" x14ac:dyDescent="0.3">
      <c r="B375" s="144" t="s">
        <v>248</v>
      </c>
      <c r="C375" s="132" t="s">
        <v>196</v>
      </c>
      <c r="D375" s="39"/>
      <c r="E375" s="39"/>
      <c r="F375" s="39"/>
      <c r="G375" s="39"/>
      <c r="H375" s="86">
        <f>SUM(H369+H371)</f>
        <v>2.9513995990464149E-2</v>
      </c>
    </row>
    <row r="376" spans="1:8" ht="4.5" customHeight="1" x14ac:dyDescent="0.3">
      <c r="C376" s="39"/>
      <c r="D376" s="39"/>
      <c r="E376" s="39"/>
      <c r="F376" s="39"/>
      <c r="G376" s="39"/>
      <c r="H376" s="114"/>
    </row>
    <row r="377" spans="1:8" x14ac:dyDescent="0.3">
      <c r="B377" s="52" t="s">
        <v>249</v>
      </c>
      <c r="C377" s="39" t="s">
        <v>162</v>
      </c>
      <c r="D377" s="39"/>
      <c r="E377" s="39"/>
      <c r="F377" s="39"/>
      <c r="G377" s="39"/>
      <c r="H377" s="86" t="e">
        <f>+H116</f>
        <v>#DIV/0!</v>
      </c>
    </row>
    <row r="378" spans="1:8" ht="17.25" customHeight="1" x14ac:dyDescent="0.3">
      <c r="A378" s="45" t="s">
        <v>254</v>
      </c>
      <c r="C378" s="39"/>
      <c r="D378" s="39"/>
      <c r="E378" s="39"/>
      <c r="F378" s="39"/>
      <c r="G378" s="39"/>
      <c r="H378" s="57"/>
    </row>
    <row r="379" spans="1:8" ht="18" customHeight="1" x14ac:dyDescent="0.25">
      <c r="A379" s="343"/>
      <c r="B379" s="344"/>
      <c r="C379" s="344"/>
      <c r="D379" s="344"/>
      <c r="E379" s="344"/>
      <c r="F379" s="344"/>
      <c r="G379" s="344"/>
      <c r="H379" s="345"/>
    </row>
    <row r="380" spans="1:8" ht="18" customHeight="1" x14ac:dyDescent="0.25">
      <c r="A380" s="346"/>
      <c r="B380" s="291"/>
      <c r="C380" s="291"/>
      <c r="D380" s="291"/>
      <c r="E380" s="291"/>
      <c r="F380" s="291"/>
      <c r="G380" s="291"/>
      <c r="H380" s="347"/>
    </row>
    <row r="381" spans="1:8" ht="6" customHeight="1" x14ac:dyDescent="0.3"/>
    <row r="382" spans="1:8" x14ac:dyDescent="0.3">
      <c r="A382" s="211" t="s">
        <v>59</v>
      </c>
      <c r="B382" s="212"/>
      <c r="C382" s="212"/>
      <c r="D382" s="212"/>
      <c r="E382" s="212"/>
      <c r="F382" s="212"/>
      <c r="G382" s="212"/>
      <c r="H382" s="213"/>
    </row>
    <row r="383" spans="1:8" ht="5.25" customHeight="1" x14ac:dyDescent="0.3">
      <c r="A383" s="19"/>
      <c r="B383" s="3"/>
      <c r="C383" s="3"/>
      <c r="D383" s="3"/>
      <c r="E383" s="3"/>
      <c r="F383" s="3"/>
      <c r="G383" s="3"/>
      <c r="H383" s="4"/>
    </row>
    <row r="384" spans="1:8" ht="15.75" customHeight="1" x14ac:dyDescent="0.25">
      <c r="A384" s="350" t="s">
        <v>263</v>
      </c>
      <c r="B384" s="351"/>
      <c r="C384" s="351"/>
      <c r="D384" s="351"/>
      <c r="E384" s="351"/>
      <c r="F384" s="351"/>
      <c r="G384" s="351"/>
      <c r="H384" s="352"/>
    </row>
    <row r="385" spans="1:8" ht="12.5" x14ac:dyDescent="0.25">
      <c r="A385" s="353"/>
      <c r="B385" s="351"/>
      <c r="C385" s="351"/>
      <c r="D385" s="351"/>
      <c r="E385" s="351"/>
      <c r="F385" s="351"/>
      <c r="G385" s="351"/>
      <c r="H385" s="352"/>
    </row>
    <row r="386" spans="1:8" ht="9" customHeight="1" x14ac:dyDescent="0.3">
      <c r="A386" s="130"/>
      <c r="B386" s="137"/>
      <c r="C386" s="137"/>
      <c r="D386" s="137"/>
      <c r="E386" s="137"/>
      <c r="F386" s="137"/>
      <c r="G386" s="137"/>
      <c r="H386" s="138"/>
    </row>
    <row r="387" spans="1:8" ht="43.15" customHeight="1" x14ac:dyDescent="0.25">
      <c r="A387" s="313" t="s">
        <v>280</v>
      </c>
      <c r="B387" s="314"/>
      <c r="C387" s="314"/>
      <c r="D387" s="314"/>
      <c r="E387" s="314"/>
      <c r="F387" s="314"/>
      <c r="G387" s="314"/>
      <c r="H387" s="315"/>
    </row>
    <row r="388" spans="1:8" ht="7.15" customHeight="1" x14ac:dyDescent="0.3">
      <c r="A388" s="172"/>
      <c r="B388" s="173"/>
      <c r="C388" s="173"/>
      <c r="D388" s="173"/>
      <c r="E388" s="173"/>
      <c r="F388" s="173"/>
      <c r="G388" s="173"/>
      <c r="H388" s="174"/>
    </row>
    <row r="389" spans="1:8" ht="12.5" x14ac:dyDescent="0.25">
      <c r="A389" s="310" t="s">
        <v>282</v>
      </c>
      <c r="B389" s="265"/>
      <c r="C389" s="265"/>
      <c r="D389" s="265"/>
      <c r="E389" s="265"/>
      <c r="F389" s="265"/>
      <c r="G389" s="265"/>
      <c r="H389" s="311"/>
    </row>
    <row r="390" spans="1:8" ht="12.5" x14ac:dyDescent="0.25">
      <c r="A390" s="312"/>
      <c r="B390" s="265"/>
      <c r="C390" s="265"/>
      <c r="D390" s="265"/>
      <c r="E390" s="265"/>
      <c r="F390" s="265"/>
      <c r="G390" s="265"/>
      <c r="H390" s="311"/>
    </row>
    <row r="391" spans="1:8" ht="12.5" x14ac:dyDescent="0.25">
      <c r="A391" s="312"/>
      <c r="B391" s="265"/>
      <c r="C391" s="265"/>
      <c r="D391" s="265"/>
      <c r="E391" s="265"/>
      <c r="F391" s="265"/>
      <c r="G391" s="265"/>
      <c r="H391" s="311"/>
    </row>
    <row r="392" spans="1:8" ht="11.25" customHeight="1" x14ac:dyDescent="0.25">
      <c r="A392" s="312"/>
      <c r="B392" s="265"/>
      <c r="C392" s="265"/>
      <c r="D392" s="265"/>
      <c r="E392" s="265"/>
      <c r="F392" s="265"/>
      <c r="G392" s="265"/>
      <c r="H392" s="311"/>
    </row>
    <row r="393" spans="1:8" ht="7.5" customHeight="1" thickBot="1" x14ac:dyDescent="0.3">
      <c r="A393" s="179"/>
      <c r="B393" s="177"/>
      <c r="C393" s="177"/>
      <c r="D393" s="177"/>
      <c r="E393" s="177"/>
      <c r="F393" s="177"/>
      <c r="G393" s="177"/>
      <c r="H393" s="178"/>
    </row>
    <row r="394" spans="1:8" ht="16.5" customHeight="1" x14ac:dyDescent="0.25">
      <c r="A394" s="370" t="s">
        <v>255</v>
      </c>
      <c r="B394" s="371"/>
      <c r="C394" s="371"/>
      <c r="D394" s="371"/>
      <c r="E394" s="371"/>
      <c r="F394" s="371"/>
      <c r="G394" s="371"/>
      <c r="H394" s="372"/>
    </row>
    <row r="395" spans="1:8" ht="12.75" customHeight="1" x14ac:dyDescent="0.25">
      <c r="A395" s="373"/>
      <c r="B395" s="239"/>
      <c r="C395" s="239"/>
      <c r="D395" s="239"/>
      <c r="E395" s="239"/>
      <c r="F395" s="239"/>
      <c r="G395" s="239"/>
      <c r="H395" s="374"/>
    </row>
    <row r="396" spans="1:8" ht="9" customHeight="1" x14ac:dyDescent="0.3">
      <c r="A396" s="175"/>
      <c r="H396" s="68"/>
    </row>
    <row r="397" spans="1:8" ht="7.5" customHeight="1" x14ac:dyDescent="0.3">
      <c r="A397" s="176"/>
      <c r="B397" s="8"/>
      <c r="C397" s="8"/>
      <c r="D397" s="8"/>
      <c r="E397" s="8"/>
      <c r="G397" s="308"/>
      <c r="H397" s="309"/>
    </row>
    <row r="398" spans="1:8" x14ac:dyDescent="0.3">
      <c r="A398" s="380" t="s">
        <v>197</v>
      </c>
      <c r="B398" s="375"/>
      <c r="C398" s="375"/>
      <c r="D398" s="375"/>
      <c r="E398" s="375"/>
      <c r="G398" s="375" t="s">
        <v>61</v>
      </c>
      <c r="H398" s="376"/>
    </row>
    <row r="399" spans="1:8" ht="15.75" customHeight="1" x14ac:dyDescent="0.3">
      <c r="A399" s="176"/>
      <c r="B399" s="8"/>
      <c r="C399" s="8"/>
      <c r="D399" s="8"/>
      <c r="E399" s="8"/>
      <c r="G399" s="308"/>
      <c r="H399" s="309"/>
    </row>
    <row r="400" spans="1:8" s="181" customFormat="1" ht="15" customHeight="1" thickBot="1" x14ac:dyDescent="0.3">
      <c r="A400" s="379" t="s">
        <v>261</v>
      </c>
      <c r="B400" s="377"/>
      <c r="C400" s="377"/>
      <c r="D400" s="377"/>
      <c r="E400" s="377"/>
      <c r="F400" s="180"/>
      <c r="G400" s="377" t="s">
        <v>61</v>
      </c>
      <c r="H400" s="378"/>
    </row>
    <row r="401" spans="1:8" s="34" customFormat="1" ht="8.25" customHeight="1" x14ac:dyDescent="0.25">
      <c r="A401" s="60"/>
      <c r="B401" s="51"/>
      <c r="C401" s="51"/>
      <c r="D401" s="51"/>
      <c r="E401" s="61"/>
      <c r="H401" s="62"/>
    </row>
    <row r="402" spans="1:8" s="34" customFormat="1" x14ac:dyDescent="0.3">
      <c r="A402" s="381" t="s">
        <v>206</v>
      </c>
      <c r="B402" s="382"/>
      <c r="C402" s="382"/>
      <c r="D402" s="382"/>
      <c r="E402" s="382"/>
      <c r="F402" s="382"/>
      <c r="G402" s="382"/>
      <c r="H402" s="383"/>
    </row>
    <row r="403" spans="1:8" x14ac:dyDescent="0.3">
      <c r="A403" s="364">
        <f>H12</f>
        <v>45203</v>
      </c>
      <c r="B403" s="365"/>
      <c r="C403" s="365"/>
      <c r="D403" s="365"/>
      <c r="E403" s="365"/>
      <c r="F403" s="12" t="s">
        <v>256</v>
      </c>
      <c r="H403" s="6"/>
    </row>
    <row r="404" spans="1:8" ht="15" customHeight="1" x14ac:dyDescent="0.3">
      <c r="A404" s="364" t="str">
        <f>$C$10</f>
        <v>Any School Teacher's Association</v>
      </c>
      <c r="B404" s="365"/>
      <c r="C404" s="365"/>
      <c r="D404" s="365"/>
      <c r="E404" s="365"/>
      <c r="F404" s="12" t="s">
        <v>164</v>
      </c>
      <c r="G404" s="12"/>
      <c r="H404" s="182"/>
    </row>
    <row r="405" spans="1:8" ht="12.65" customHeight="1" x14ac:dyDescent="0.3">
      <c r="A405" s="92"/>
      <c r="G405" s="12"/>
      <c r="H405" s="182"/>
    </row>
    <row r="406" spans="1:8" ht="14.25" customHeight="1" x14ac:dyDescent="0.3">
      <c r="A406" s="366"/>
      <c r="B406" s="367"/>
      <c r="C406" s="367"/>
      <c r="D406" s="367"/>
      <c r="E406" s="367"/>
      <c r="G406" s="368"/>
      <c r="H406" s="369"/>
    </row>
    <row r="407" spans="1:8" x14ac:dyDescent="0.3">
      <c r="A407" s="133" t="s">
        <v>262</v>
      </c>
      <c r="B407" s="134"/>
      <c r="C407" s="134"/>
      <c r="D407" s="134"/>
      <c r="E407" s="135"/>
      <c r="F407" s="8"/>
      <c r="G407" s="134" t="s">
        <v>61</v>
      </c>
      <c r="H407" s="136"/>
    </row>
  </sheetData>
  <sheetProtection formatCells="0" formatColumns="0" formatRows="0" insertColumns="0" insertRows="0" insertHyperlinks="0" deleteColumns="0" deleteRows="0" sort="0" autoFilter="0" pivotTables="0"/>
  <mergeCells count="87">
    <mergeCell ref="A404:E404"/>
    <mergeCell ref="A406:E406"/>
    <mergeCell ref="G406:H406"/>
    <mergeCell ref="A394:H395"/>
    <mergeCell ref="G398:H398"/>
    <mergeCell ref="G400:H400"/>
    <mergeCell ref="A400:E400"/>
    <mergeCell ref="A398:E398"/>
    <mergeCell ref="A402:H402"/>
    <mergeCell ref="A403:E403"/>
    <mergeCell ref="G397:H397"/>
    <mergeCell ref="A379:H380"/>
    <mergeCell ref="B358:H358"/>
    <mergeCell ref="C372:F372"/>
    <mergeCell ref="A384:H385"/>
    <mergeCell ref="A243:D243"/>
    <mergeCell ref="A294:D294"/>
    <mergeCell ref="B344:H344"/>
    <mergeCell ref="B350:H350"/>
    <mergeCell ref="C373:F374"/>
    <mergeCell ref="B321:H324"/>
    <mergeCell ref="B329:H332"/>
    <mergeCell ref="B337:H341"/>
    <mergeCell ref="A262:H267"/>
    <mergeCell ref="A351:H351"/>
    <mergeCell ref="C361:G361"/>
    <mergeCell ref="B327:H328"/>
    <mergeCell ref="A382:H382"/>
    <mergeCell ref="G399:H399"/>
    <mergeCell ref="A389:H392"/>
    <mergeCell ref="A387:H387"/>
    <mergeCell ref="A1:H4"/>
    <mergeCell ref="G151:H151"/>
    <mergeCell ref="C118:G118"/>
    <mergeCell ref="B132:H132"/>
    <mergeCell ref="B140:H140"/>
    <mergeCell ref="B107:H107"/>
    <mergeCell ref="B133:H138"/>
    <mergeCell ref="B121:H122"/>
    <mergeCell ref="B45:G45"/>
    <mergeCell ref="C8:F8"/>
    <mergeCell ref="C10:F10"/>
    <mergeCell ref="D22:F22"/>
    <mergeCell ref="E33:H35"/>
    <mergeCell ref="B33:D33"/>
    <mergeCell ref="B98:H98"/>
    <mergeCell ref="B86:H87"/>
    <mergeCell ref="B319:H320"/>
    <mergeCell ref="H156:H158"/>
    <mergeCell ref="A254:D254"/>
    <mergeCell ref="A212:H212"/>
    <mergeCell ref="B88:H90"/>
    <mergeCell ref="B124:H124"/>
    <mergeCell ref="A119:H119"/>
    <mergeCell ref="A155:H155"/>
    <mergeCell ref="G152:H152"/>
    <mergeCell ref="B353:H356"/>
    <mergeCell ref="F170:F171"/>
    <mergeCell ref="H170:H171"/>
    <mergeCell ref="F219:F220"/>
    <mergeCell ref="G219:G220"/>
    <mergeCell ref="G170:G171"/>
    <mergeCell ref="B345:H349"/>
    <mergeCell ref="B335:H336"/>
    <mergeCell ref="F270:F271"/>
    <mergeCell ref="H219:H220"/>
    <mergeCell ref="A305:D305"/>
    <mergeCell ref="H270:H271"/>
    <mergeCell ref="A213:H216"/>
    <mergeCell ref="E268:G268"/>
    <mergeCell ref="A312:H318"/>
    <mergeCell ref="A15:H15"/>
    <mergeCell ref="A36:H36"/>
    <mergeCell ref="D24:F24"/>
    <mergeCell ref="G270:G271"/>
    <mergeCell ref="C93:F93"/>
    <mergeCell ref="B157:G157"/>
    <mergeCell ref="B153:F153"/>
    <mergeCell ref="C56:F56"/>
    <mergeCell ref="A169:D171"/>
    <mergeCell ref="E217:G217"/>
    <mergeCell ref="A205:D205"/>
    <mergeCell ref="F168:H168"/>
    <mergeCell ref="B125:H130"/>
    <mergeCell ref="B141:H148"/>
    <mergeCell ref="B160:F160"/>
    <mergeCell ref="G153:H153"/>
  </mergeCells>
  <phoneticPr fontId="0" type="noConversion"/>
  <printOptions horizontalCentered="1"/>
  <pageMargins left="0.17" right="0.16" top="0.22" bottom="0.42" header="0.32" footer="0.13"/>
  <pageSetup scale="98" orientation="portrait" r:id="rId1"/>
  <headerFooter alignWithMargins="0">
    <oddFooter>&amp;C&amp;"Arial,Italic"&amp;8&amp;P of &amp;N&amp;R&amp;"Arial,Italic"&amp;8&amp;F</oddFooter>
  </headerFooter>
  <rowBreaks count="7" manualBreakCount="7">
    <brk id="66" max="16383" man="1"/>
    <brk id="118" max="16383" man="1"/>
    <brk id="163" max="16383" man="1"/>
    <brk id="216" max="7" man="1"/>
    <brk id="267" max="16383" man="1"/>
    <brk id="318" max="16383" man="1"/>
    <brk id="3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J163"/>
  <sheetViews>
    <sheetView showGridLines="0" showZeros="0" topLeftCell="A23" zoomScaleNormal="100" workbookViewId="0">
      <selection activeCell="G26" sqref="G26:H26"/>
    </sheetView>
  </sheetViews>
  <sheetFormatPr defaultRowHeight="12.5" x14ac:dyDescent="0.25"/>
  <cols>
    <col min="1" max="1" width="10.26953125" customWidth="1"/>
    <col min="3" max="3" width="5.26953125" customWidth="1"/>
    <col min="4" max="4" width="9.453125" customWidth="1"/>
    <col min="5" max="5" width="17.54296875" customWidth="1"/>
    <col min="6" max="6" width="16.54296875" customWidth="1"/>
    <col min="7" max="7" width="16.26953125" customWidth="1"/>
    <col min="8" max="8" width="20.54296875" customWidth="1"/>
    <col min="10" max="10" width="13.453125" bestFit="1" customWidth="1"/>
  </cols>
  <sheetData>
    <row r="1" spans="1:8" ht="13" x14ac:dyDescent="0.3">
      <c r="A1" s="417" t="s">
        <v>21</v>
      </c>
      <c r="B1" s="418"/>
      <c r="C1" s="418"/>
      <c r="D1" s="418"/>
      <c r="E1" s="418"/>
      <c r="F1" s="418"/>
      <c r="G1" s="418"/>
      <c r="H1" s="419"/>
    </row>
    <row r="2" spans="1:8" ht="13" x14ac:dyDescent="0.3">
      <c r="A2" s="420" t="s">
        <v>1</v>
      </c>
      <c r="B2" s="421"/>
      <c r="C2" s="421"/>
      <c r="D2" s="421"/>
      <c r="E2" s="421"/>
      <c r="F2" s="421"/>
      <c r="G2" s="421"/>
      <c r="H2" s="422"/>
    </row>
    <row r="3" spans="1:8" ht="13" x14ac:dyDescent="0.3">
      <c r="A3" s="420" t="s">
        <v>2</v>
      </c>
      <c r="B3" s="421"/>
      <c r="C3" s="421"/>
      <c r="D3" s="421"/>
      <c r="E3" s="421"/>
      <c r="F3" s="421"/>
      <c r="G3" s="421"/>
      <c r="H3" s="422"/>
    </row>
    <row r="4" spans="1:8" ht="13.5" thickBot="1" x14ac:dyDescent="0.35">
      <c r="A4" s="423" t="s">
        <v>202</v>
      </c>
      <c r="B4" s="424"/>
      <c r="C4" s="424"/>
      <c r="D4" s="424"/>
      <c r="E4" s="424"/>
      <c r="F4" s="424"/>
      <c r="G4" s="424"/>
      <c r="H4" s="425"/>
    </row>
    <row r="5" spans="1:8" ht="13" x14ac:dyDescent="0.3">
      <c r="A5" s="91"/>
      <c r="B5" s="91"/>
      <c r="C5" s="91"/>
      <c r="D5" s="91"/>
      <c r="E5" s="91"/>
      <c r="F5" s="91"/>
      <c r="G5" s="91"/>
      <c r="H5" s="91"/>
    </row>
    <row r="6" spans="1:8" ht="13" x14ac:dyDescent="0.3">
      <c r="B6" s="11"/>
      <c r="C6" s="426" t="str">
        <f>+Summary!C8</f>
        <v>Any Unified</v>
      </c>
      <c r="D6" s="427"/>
      <c r="E6" s="427"/>
      <c r="F6" s="410"/>
      <c r="G6" s="21" t="s">
        <v>18</v>
      </c>
      <c r="H6" s="11"/>
    </row>
    <row r="8" spans="1:8" ht="13.15" customHeight="1" x14ac:dyDescent="0.25">
      <c r="A8" s="411" t="s">
        <v>283</v>
      </c>
      <c r="B8" s="412"/>
      <c r="C8" s="412"/>
      <c r="D8" s="412"/>
      <c r="E8" s="412"/>
      <c r="F8" s="412"/>
      <c r="G8" s="412"/>
      <c r="H8" s="412"/>
    </row>
    <row r="9" spans="1:8" x14ac:dyDescent="0.25">
      <c r="A9" s="412"/>
      <c r="B9" s="412"/>
      <c r="C9" s="412"/>
      <c r="D9" s="412"/>
      <c r="E9" s="412"/>
      <c r="F9" s="412"/>
      <c r="G9" s="412"/>
      <c r="H9" s="412"/>
    </row>
    <row r="10" spans="1:8" x14ac:dyDescent="0.25">
      <c r="A10" s="412"/>
      <c r="B10" s="412"/>
      <c r="C10" s="412"/>
      <c r="D10" s="412"/>
      <c r="E10" s="412"/>
      <c r="F10" s="412"/>
      <c r="G10" s="412"/>
      <c r="H10" s="412"/>
    </row>
    <row r="11" spans="1:8" x14ac:dyDescent="0.25">
      <c r="A11" s="412"/>
      <c r="B11" s="412"/>
      <c r="C11" s="412"/>
      <c r="D11" s="412"/>
      <c r="E11" s="412"/>
      <c r="F11" s="412"/>
      <c r="G11" s="412"/>
      <c r="H11" s="412"/>
    </row>
    <row r="12" spans="1:8" ht="6.65" customHeight="1" x14ac:dyDescent="0.25"/>
    <row r="13" spans="1:8" ht="13.15" customHeight="1" x14ac:dyDescent="0.25">
      <c r="A13" s="412" t="s">
        <v>40</v>
      </c>
      <c r="B13" s="412"/>
      <c r="C13" s="412"/>
      <c r="D13" s="412"/>
      <c r="E13" s="412"/>
      <c r="F13" s="412"/>
      <c r="G13" s="412"/>
      <c r="H13" s="412"/>
    </row>
    <row r="14" spans="1:8" x14ac:dyDescent="0.25">
      <c r="A14" s="412"/>
      <c r="B14" s="412"/>
      <c r="C14" s="412"/>
      <c r="D14" s="412"/>
      <c r="E14" s="412"/>
      <c r="F14" s="412"/>
      <c r="G14" s="412"/>
      <c r="H14" s="412"/>
    </row>
    <row r="15" spans="1:8" ht="6.65" customHeight="1" x14ac:dyDescent="0.25">
      <c r="A15" s="10"/>
      <c r="B15" s="10"/>
      <c r="C15" s="10"/>
      <c r="D15" s="10"/>
      <c r="E15" s="10"/>
      <c r="F15" s="10"/>
      <c r="G15" s="10"/>
      <c r="H15" s="10"/>
    </row>
    <row r="16" spans="1:8" ht="13" x14ac:dyDescent="0.3">
      <c r="A16" s="12" t="s">
        <v>123</v>
      </c>
    </row>
    <row r="17" spans="1:8" ht="17.5" customHeight="1" x14ac:dyDescent="0.3">
      <c r="A17" s="421" t="s">
        <v>293</v>
      </c>
      <c r="B17" s="421"/>
      <c r="C17" s="421"/>
      <c r="D17" s="421"/>
      <c r="E17" s="421"/>
      <c r="F17" s="421"/>
      <c r="G17" s="421"/>
      <c r="H17" s="421"/>
    </row>
    <row r="18" spans="1:8" ht="5.5" customHeight="1" x14ac:dyDescent="0.3">
      <c r="A18" s="421"/>
      <c r="B18" s="421"/>
      <c r="C18" s="421"/>
      <c r="D18" s="421"/>
      <c r="E18" s="421"/>
      <c r="F18" s="421"/>
      <c r="G18" s="421"/>
      <c r="H18" s="421"/>
    </row>
    <row r="19" spans="1:8" ht="13" x14ac:dyDescent="0.3">
      <c r="B19" s="11"/>
      <c r="C19" s="426" t="str">
        <f>+Summary!C10</f>
        <v>Any School Teacher's Association</v>
      </c>
      <c r="D19" s="427"/>
      <c r="E19" s="427"/>
      <c r="F19" s="410"/>
      <c r="G19" s="21" t="s">
        <v>19</v>
      </c>
      <c r="H19" s="11"/>
    </row>
    <row r="21" spans="1:8" ht="13" x14ac:dyDescent="0.3">
      <c r="A21" t="s">
        <v>20</v>
      </c>
      <c r="G21" s="428">
        <f>+Summary!H12</f>
        <v>45203</v>
      </c>
      <c r="H21" s="429"/>
    </row>
    <row r="23" spans="1:8" ht="13" x14ac:dyDescent="0.3">
      <c r="A23" t="s">
        <v>22</v>
      </c>
      <c r="B23" s="9" t="s">
        <v>41</v>
      </c>
    </row>
    <row r="24" spans="1:8" ht="13" x14ac:dyDescent="0.3">
      <c r="B24" t="s">
        <v>23</v>
      </c>
      <c r="G24" s="430">
        <f>+Summary!H27</f>
        <v>45108</v>
      </c>
      <c r="H24" s="431"/>
    </row>
    <row r="25" spans="1:8" ht="13" x14ac:dyDescent="0.3">
      <c r="B25" t="s">
        <v>24</v>
      </c>
      <c r="G25" s="430">
        <f>+Summary!H28</f>
        <v>45473</v>
      </c>
      <c r="H25" s="431"/>
    </row>
    <row r="26" spans="1:8" ht="13" x14ac:dyDescent="0.3">
      <c r="B26" t="s">
        <v>25</v>
      </c>
      <c r="E26" s="12" t="str">
        <f>+Summary!F31</f>
        <v>2023-24</v>
      </c>
      <c r="F26" s="12"/>
      <c r="G26" s="434" t="str">
        <f>Summary!F31&amp;", "&amp;Summary!G31&amp;", "&amp;Summary!H31</f>
        <v xml:space="preserve">2023-24, , </v>
      </c>
      <c r="H26" s="434"/>
    </row>
    <row r="28" spans="1:8" ht="13" x14ac:dyDescent="0.3">
      <c r="A28" t="s">
        <v>29</v>
      </c>
      <c r="B28" s="9" t="s">
        <v>165</v>
      </c>
    </row>
    <row r="29" spans="1:8" x14ac:dyDescent="0.25">
      <c r="B29" t="s">
        <v>166</v>
      </c>
    </row>
    <row r="30" spans="1:8" ht="13" x14ac:dyDescent="0.3">
      <c r="B30" s="13" t="s">
        <v>64</v>
      </c>
      <c r="C30" s="52" t="s">
        <v>284</v>
      </c>
      <c r="G30" s="391">
        <f>+Summary!H104</f>
        <v>0</v>
      </c>
      <c r="H30" s="413"/>
    </row>
    <row r="31" spans="1:8" ht="13" x14ac:dyDescent="0.3">
      <c r="G31" s="117"/>
      <c r="H31" s="118"/>
    </row>
    <row r="32" spans="1:8" ht="13" x14ac:dyDescent="0.3">
      <c r="B32" s="13" t="s">
        <v>65</v>
      </c>
      <c r="C32" s="52" t="s">
        <v>285</v>
      </c>
      <c r="G32" s="391">
        <f>+Summary!H111</f>
        <v>0</v>
      </c>
      <c r="H32" s="413"/>
    </row>
    <row r="33" spans="1:8" ht="13" x14ac:dyDescent="0.3">
      <c r="G33" s="117"/>
      <c r="H33" s="118"/>
    </row>
    <row r="34" spans="1:8" ht="13" x14ac:dyDescent="0.3">
      <c r="B34" s="13" t="s">
        <v>66</v>
      </c>
      <c r="C34" t="s">
        <v>167</v>
      </c>
      <c r="G34" s="391">
        <f>+Summary!H114</f>
        <v>0</v>
      </c>
      <c r="H34" s="413"/>
    </row>
    <row r="35" spans="1:8" ht="13" x14ac:dyDescent="0.3">
      <c r="G35" s="15"/>
    </row>
    <row r="36" spans="1:8" ht="13" x14ac:dyDescent="0.3">
      <c r="B36" s="13" t="s">
        <v>67</v>
      </c>
      <c r="C36" t="s">
        <v>168</v>
      </c>
      <c r="G36" s="432" t="e">
        <f>+Summary!H116</f>
        <v>#DIV/0!</v>
      </c>
      <c r="H36" s="433"/>
    </row>
    <row r="37" spans="1:8" ht="13" x14ac:dyDescent="0.3">
      <c r="G37" s="16"/>
    </row>
    <row r="38" spans="1:8" ht="13" x14ac:dyDescent="0.3">
      <c r="B38" s="13" t="s">
        <v>68</v>
      </c>
      <c r="C38" s="52" t="s">
        <v>286</v>
      </c>
      <c r="G38" s="391" t="e">
        <f>+Summary!H118</f>
        <v>#DIV/0!</v>
      </c>
      <c r="H38" s="413"/>
    </row>
    <row r="40" spans="1:8" ht="13" x14ac:dyDescent="0.3">
      <c r="A40" t="s">
        <v>30</v>
      </c>
      <c r="B40" s="9" t="s">
        <v>288</v>
      </c>
    </row>
    <row r="41" spans="1:8" ht="13.15" customHeight="1" x14ac:dyDescent="0.25">
      <c r="B41" s="411" t="s">
        <v>287</v>
      </c>
      <c r="C41" s="412"/>
      <c r="D41" s="412"/>
      <c r="E41" s="412"/>
      <c r="F41" s="412"/>
      <c r="G41" s="412"/>
      <c r="H41" s="412"/>
    </row>
    <row r="42" spans="1:8" x14ac:dyDescent="0.25">
      <c r="B42" s="412"/>
      <c r="C42" s="412"/>
      <c r="D42" s="412"/>
      <c r="E42" s="412"/>
      <c r="F42" s="412"/>
      <c r="G42" s="412"/>
      <c r="H42" s="412"/>
    </row>
    <row r="43" spans="1:8" x14ac:dyDescent="0.25">
      <c r="B43" s="10"/>
      <c r="C43" s="10"/>
      <c r="D43" s="10"/>
      <c r="E43" s="10"/>
      <c r="F43" s="10"/>
      <c r="G43" s="10"/>
      <c r="H43" s="10"/>
    </row>
    <row r="44" spans="1:8" x14ac:dyDescent="0.25">
      <c r="B44" s="13" t="s">
        <v>64</v>
      </c>
      <c r="C44" t="s">
        <v>169</v>
      </c>
    </row>
    <row r="45" spans="1:8" ht="13" x14ac:dyDescent="0.3">
      <c r="C45" t="s">
        <v>170</v>
      </c>
      <c r="G45" s="409">
        <f>+Summary!G54</f>
        <v>0</v>
      </c>
      <c r="H45" s="410"/>
    </row>
    <row r="46" spans="1:8" ht="13" x14ac:dyDescent="0.3">
      <c r="C46" s="144" t="s">
        <v>203</v>
      </c>
      <c r="G46" s="409">
        <f>Summary!G56</f>
        <v>0</v>
      </c>
      <c r="H46" s="410"/>
    </row>
    <row r="47" spans="1:8" ht="13" x14ac:dyDescent="0.3">
      <c r="G47" s="17"/>
    </row>
    <row r="48" spans="1:8" ht="13" x14ac:dyDescent="0.3">
      <c r="B48" s="13" t="s">
        <v>65</v>
      </c>
      <c r="C48" t="s">
        <v>69</v>
      </c>
      <c r="G48" s="17"/>
    </row>
    <row r="49" spans="1:8" ht="13" x14ac:dyDescent="0.3">
      <c r="C49" s="52" t="s">
        <v>289</v>
      </c>
      <c r="G49" s="409">
        <f>+Summary!G59</f>
        <v>0</v>
      </c>
      <c r="H49" s="410"/>
    </row>
    <row r="50" spans="1:8" ht="13" x14ac:dyDescent="0.3">
      <c r="G50" s="17"/>
    </row>
    <row r="51" spans="1:8" ht="13" x14ac:dyDescent="0.3">
      <c r="B51" s="13" t="s">
        <v>66</v>
      </c>
      <c r="C51" s="47" t="s">
        <v>171</v>
      </c>
      <c r="G51" s="17"/>
    </row>
    <row r="52" spans="1:8" ht="13" x14ac:dyDescent="0.3">
      <c r="C52" s="52" t="s">
        <v>291</v>
      </c>
      <c r="G52" s="414">
        <f>Summary!G62</f>
        <v>0</v>
      </c>
      <c r="H52" s="415"/>
    </row>
    <row r="53" spans="1:8" ht="13" x14ac:dyDescent="0.3">
      <c r="C53" s="59"/>
    </row>
    <row r="54" spans="1:8" ht="13" x14ac:dyDescent="0.3">
      <c r="B54" s="119" t="s">
        <v>67</v>
      </c>
      <c r="C54" s="52" t="s">
        <v>292</v>
      </c>
      <c r="G54" s="435">
        <f>Summary!H64</f>
        <v>0</v>
      </c>
      <c r="H54" s="436"/>
    </row>
    <row r="55" spans="1:8" ht="13" x14ac:dyDescent="0.3">
      <c r="B55" s="119"/>
      <c r="C55" s="52"/>
      <c r="G55" s="128"/>
      <c r="H55" s="129"/>
    </row>
    <row r="56" spans="1:8" ht="13" x14ac:dyDescent="0.3">
      <c r="B56" s="187" t="s">
        <v>68</v>
      </c>
      <c r="C56" s="52" t="s">
        <v>294</v>
      </c>
      <c r="G56" s="407">
        <f>Summary!H65</f>
        <v>189</v>
      </c>
      <c r="H56" s="408"/>
    </row>
    <row r="57" spans="1:8" ht="13" x14ac:dyDescent="0.3">
      <c r="B57" s="49"/>
      <c r="G57" s="128"/>
      <c r="H57" s="129"/>
    </row>
    <row r="58" spans="1:8" ht="24" customHeight="1" x14ac:dyDescent="0.3">
      <c r="B58" s="188" t="s">
        <v>73</v>
      </c>
      <c r="C58" s="411" t="s">
        <v>204</v>
      </c>
      <c r="D58" s="412"/>
      <c r="E58" s="412"/>
      <c r="F58" s="416"/>
      <c r="G58" s="407">
        <f>Summary!H66</f>
        <v>180</v>
      </c>
      <c r="H58" s="408"/>
    </row>
    <row r="59" spans="1:8" ht="13.15" customHeight="1" x14ac:dyDescent="0.25">
      <c r="A59" t="s">
        <v>31</v>
      </c>
      <c r="B59" s="288" t="s">
        <v>295</v>
      </c>
      <c r="C59" s="288"/>
      <c r="D59" s="288"/>
      <c r="E59" s="288"/>
      <c r="F59" s="288"/>
      <c r="G59" s="288"/>
      <c r="H59" s="288"/>
    </row>
    <row r="60" spans="1:8" x14ac:dyDescent="0.25">
      <c r="B60" s="288"/>
      <c r="C60" s="288"/>
      <c r="D60" s="288"/>
      <c r="E60" s="288"/>
      <c r="F60" s="288"/>
      <c r="G60" s="288"/>
      <c r="H60" s="288"/>
    </row>
    <row r="61" spans="1:8" ht="13" x14ac:dyDescent="0.25">
      <c r="B61" s="149"/>
      <c r="C61" s="149"/>
      <c r="D61" s="149"/>
      <c r="E61" s="149"/>
      <c r="F61" s="149"/>
      <c r="G61" s="149"/>
      <c r="H61" s="149"/>
    </row>
    <row r="62" spans="1:8" ht="13" x14ac:dyDescent="0.3">
      <c r="B62" s="13" t="s">
        <v>64</v>
      </c>
      <c r="C62" t="s">
        <v>70</v>
      </c>
      <c r="G62" s="391">
        <f>Summary!G103</f>
        <v>0</v>
      </c>
      <c r="H62" s="413"/>
    </row>
    <row r="63" spans="1:8" ht="13" x14ac:dyDescent="0.3">
      <c r="G63" s="121"/>
      <c r="H63" s="122"/>
    </row>
    <row r="64" spans="1:8" ht="13" x14ac:dyDescent="0.3">
      <c r="B64" s="13" t="s">
        <v>65</v>
      </c>
      <c r="C64" t="s">
        <v>71</v>
      </c>
      <c r="G64" s="391">
        <f>Summary!G110</f>
        <v>0</v>
      </c>
      <c r="H64" s="413"/>
    </row>
    <row r="65" spans="1:8" ht="13" x14ac:dyDescent="0.3">
      <c r="G65" s="12"/>
    </row>
    <row r="66" spans="1:8" ht="13" x14ac:dyDescent="0.3">
      <c r="B66" s="13" t="s">
        <v>66</v>
      </c>
      <c r="C66" s="47" t="s">
        <v>172</v>
      </c>
      <c r="G66" s="389" t="e">
        <f>(G64-G62)/G62</f>
        <v>#DIV/0!</v>
      </c>
      <c r="H66" s="390"/>
    </row>
    <row r="68" spans="1:8" ht="13" x14ac:dyDescent="0.3">
      <c r="A68" t="s">
        <v>32</v>
      </c>
      <c r="B68" s="9" t="s">
        <v>33</v>
      </c>
    </row>
    <row r="70" spans="1:8" x14ac:dyDescent="0.25">
      <c r="B70" t="s">
        <v>42</v>
      </c>
    </row>
    <row r="72" spans="1:8" x14ac:dyDescent="0.25">
      <c r="B72" s="13" t="s">
        <v>64</v>
      </c>
      <c r="C72" t="s">
        <v>173</v>
      </c>
    </row>
    <row r="73" spans="1:8" ht="13" x14ac:dyDescent="0.3">
      <c r="C73" t="s">
        <v>34</v>
      </c>
      <c r="G73" s="391">
        <f>SUM(Summary!G151)</f>
        <v>243306038</v>
      </c>
      <c r="H73" s="392"/>
    </row>
    <row r="75" spans="1:8" x14ac:dyDescent="0.25">
      <c r="B75" s="13" t="s">
        <v>65</v>
      </c>
      <c r="C75" t="s">
        <v>72</v>
      </c>
    </row>
    <row r="76" spans="1:8" ht="13" x14ac:dyDescent="0.3">
      <c r="C76" t="s">
        <v>174</v>
      </c>
      <c r="G76" s="409">
        <f>SUM(Summary!G152)</f>
        <v>0.03</v>
      </c>
      <c r="H76" s="410"/>
    </row>
    <row r="78" spans="1:8" ht="13" x14ac:dyDescent="0.3">
      <c r="B78" s="13" t="s">
        <v>66</v>
      </c>
      <c r="C78" t="s">
        <v>175</v>
      </c>
      <c r="G78" s="391">
        <f>SUM(Summary!G153)</f>
        <v>7299181.1399999997</v>
      </c>
      <c r="H78" s="392"/>
    </row>
    <row r="80" spans="1:8" ht="13.15" customHeight="1" x14ac:dyDescent="0.25">
      <c r="B80" s="239" t="s">
        <v>176</v>
      </c>
      <c r="C80" s="239"/>
      <c r="D80" s="239"/>
      <c r="E80" s="239"/>
      <c r="F80" s="239"/>
      <c r="G80" s="239"/>
      <c r="H80" s="239"/>
    </row>
    <row r="81" spans="2:10" x14ac:dyDescent="0.25">
      <c r="B81" s="239"/>
      <c r="C81" s="239"/>
      <c r="D81" s="239"/>
      <c r="E81" s="239"/>
      <c r="F81" s="239"/>
      <c r="G81" s="239"/>
      <c r="H81" s="239"/>
    </row>
    <row r="82" spans="2:10" x14ac:dyDescent="0.25">
      <c r="B82" s="10"/>
      <c r="C82" s="10"/>
      <c r="D82" s="10"/>
      <c r="E82" s="10"/>
      <c r="F82" s="10"/>
      <c r="G82" s="10"/>
      <c r="H82" s="10"/>
    </row>
    <row r="83" spans="2:10" ht="13" x14ac:dyDescent="0.3">
      <c r="B83" s="45" t="s">
        <v>99</v>
      </c>
    </row>
    <row r="84" spans="2:10" ht="13" x14ac:dyDescent="0.3">
      <c r="B84" s="9"/>
    </row>
    <row r="85" spans="2:10" x14ac:dyDescent="0.25">
      <c r="B85" s="13" t="s">
        <v>67</v>
      </c>
      <c r="C85" t="s">
        <v>177</v>
      </c>
    </row>
    <row r="86" spans="2:10" ht="13" x14ac:dyDescent="0.3">
      <c r="C86" t="s">
        <v>178</v>
      </c>
      <c r="G86" s="393">
        <f>+Summary!H205</f>
        <v>7299181.1399999997</v>
      </c>
      <c r="H86" s="394"/>
      <c r="J86" s="118"/>
    </row>
    <row r="87" spans="2:10" x14ac:dyDescent="0.25">
      <c r="G87" s="118"/>
      <c r="H87" s="118"/>
    </row>
    <row r="88" spans="2:10" x14ac:dyDescent="0.25">
      <c r="B88" s="47" t="s">
        <v>68</v>
      </c>
      <c r="C88" t="s">
        <v>180</v>
      </c>
      <c r="G88" s="118"/>
      <c r="H88" s="118"/>
    </row>
    <row r="89" spans="2:10" ht="13" x14ac:dyDescent="0.3">
      <c r="C89" t="s">
        <v>179</v>
      </c>
      <c r="G89" s="393">
        <f>+Summary!H206</f>
        <v>3767748.8599999994</v>
      </c>
      <c r="H89" s="394"/>
    </row>
    <row r="90" spans="2:10" x14ac:dyDescent="0.25">
      <c r="G90" s="118"/>
      <c r="H90" s="118"/>
    </row>
    <row r="91" spans="2:10" ht="13" x14ac:dyDescent="0.3">
      <c r="B91" s="47" t="s">
        <v>73</v>
      </c>
      <c r="C91" s="9" t="s">
        <v>185</v>
      </c>
      <c r="G91" s="393">
        <f>+G86+G89</f>
        <v>11066930</v>
      </c>
      <c r="H91" s="394"/>
    </row>
    <row r="92" spans="2:10" ht="13" x14ac:dyDescent="0.3">
      <c r="B92" s="47"/>
      <c r="C92" s="9"/>
      <c r="G92" s="123"/>
      <c r="H92" s="124"/>
    </row>
    <row r="93" spans="2:10" ht="13" x14ac:dyDescent="0.3">
      <c r="B93" s="9"/>
      <c r="G93" s="123"/>
      <c r="H93" s="124"/>
    </row>
    <row r="94" spans="2:10" ht="13" x14ac:dyDescent="0.3">
      <c r="B94" s="45" t="s">
        <v>184</v>
      </c>
      <c r="G94" s="123"/>
      <c r="H94" s="124"/>
    </row>
    <row r="95" spans="2:10" ht="13" x14ac:dyDescent="0.3">
      <c r="B95" s="9"/>
      <c r="G95" s="123"/>
      <c r="H95" s="124"/>
    </row>
    <row r="96" spans="2:10" ht="13" x14ac:dyDescent="0.3">
      <c r="B96" s="47" t="s">
        <v>74</v>
      </c>
      <c r="C96" t="s">
        <v>181</v>
      </c>
      <c r="G96" s="123"/>
      <c r="H96" s="124"/>
    </row>
    <row r="97" spans="1:8" ht="13" x14ac:dyDescent="0.3">
      <c r="C97" t="s">
        <v>182</v>
      </c>
      <c r="G97" s="393">
        <f>SUM(Summary!H210)</f>
        <v>0</v>
      </c>
      <c r="H97" s="394"/>
    </row>
    <row r="98" spans="1:8" ht="13" x14ac:dyDescent="0.3">
      <c r="G98" s="12"/>
    </row>
    <row r="99" spans="1:8" ht="13" x14ac:dyDescent="0.3">
      <c r="B99" s="9" t="s">
        <v>183</v>
      </c>
      <c r="G99" s="12"/>
    </row>
    <row r="100" spans="1:8" ht="13" x14ac:dyDescent="0.3">
      <c r="G100" s="12"/>
    </row>
    <row r="101" spans="1:8" ht="13" x14ac:dyDescent="0.3">
      <c r="B101" s="47" t="s">
        <v>75</v>
      </c>
      <c r="C101" t="s">
        <v>77</v>
      </c>
      <c r="G101" s="393">
        <f>+G91+G97</f>
        <v>11066930</v>
      </c>
      <c r="H101" s="394"/>
    </row>
    <row r="103" spans="1:8" ht="13" x14ac:dyDescent="0.3">
      <c r="B103" s="49" t="s">
        <v>76</v>
      </c>
      <c r="C103" t="s">
        <v>98</v>
      </c>
      <c r="G103" s="404">
        <f>SUM(G101/G73)</f>
        <v>4.5485636488807567E-2</v>
      </c>
      <c r="H103" s="405"/>
    </row>
    <row r="104" spans="1:8" x14ac:dyDescent="0.25">
      <c r="B104" s="39"/>
      <c r="G104" s="48"/>
    </row>
    <row r="105" spans="1:8" ht="13" x14ac:dyDescent="0.3">
      <c r="B105" s="47" t="s">
        <v>100</v>
      </c>
      <c r="G105" s="393">
        <f>SUM(G101-G78)</f>
        <v>3767748.8600000003</v>
      </c>
      <c r="H105" s="406"/>
    </row>
    <row r="106" spans="1:8" ht="7.5" customHeight="1" x14ac:dyDescent="0.25">
      <c r="B106" s="39"/>
    </row>
    <row r="107" spans="1:8" ht="13" x14ac:dyDescent="0.3">
      <c r="A107" s="47" t="s">
        <v>39</v>
      </c>
      <c r="B107" s="9" t="s">
        <v>124</v>
      </c>
    </row>
    <row r="108" spans="1:8" x14ac:dyDescent="0.25">
      <c r="B108" s="395">
        <f>Summary!B321</f>
        <v>0</v>
      </c>
      <c r="C108" s="396"/>
      <c r="D108" s="396"/>
      <c r="E108" s="396"/>
      <c r="F108" s="396"/>
      <c r="G108" s="396"/>
      <c r="H108" s="397"/>
    </row>
    <row r="109" spans="1:8" x14ac:dyDescent="0.25">
      <c r="B109" s="398"/>
      <c r="C109" s="399"/>
      <c r="D109" s="399"/>
      <c r="E109" s="399"/>
      <c r="F109" s="399"/>
      <c r="G109" s="399"/>
      <c r="H109" s="400"/>
    </row>
    <row r="110" spans="1:8" x14ac:dyDescent="0.25">
      <c r="B110" s="398"/>
      <c r="C110" s="399"/>
      <c r="D110" s="399"/>
      <c r="E110" s="399"/>
      <c r="F110" s="399"/>
      <c r="G110" s="399"/>
      <c r="H110" s="400"/>
    </row>
    <row r="111" spans="1:8" x14ac:dyDescent="0.25">
      <c r="B111" s="401"/>
      <c r="C111" s="402"/>
      <c r="D111" s="402"/>
      <c r="E111" s="402"/>
      <c r="F111" s="402"/>
      <c r="G111" s="402"/>
      <c r="H111" s="403"/>
    </row>
    <row r="112" spans="1:8" x14ac:dyDescent="0.25">
      <c r="B112" s="39"/>
      <c r="C112" s="39"/>
      <c r="D112" s="39"/>
      <c r="E112" s="39"/>
      <c r="F112" s="39"/>
      <c r="G112" s="39"/>
      <c r="H112" s="39"/>
    </row>
    <row r="113" spans="1:8" ht="13" x14ac:dyDescent="0.3">
      <c r="A113" t="s">
        <v>38</v>
      </c>
      <c r="B113" s="9" t="s">
        <v>193</v>
      </c>
    </row>
    <row r="114" spans="1:8" ht="13.15" customHeight="1" x14ac:dyDescent="0.25">
      <c r="B114" s="239" t="s">
        <v>186</v>
      </c>
      <c r="C114" s="239"/>
      <c r="D114" s="239"/>
      <c r="E114" s="239"/>
      <c r="F114" s="239"/>
      <c r="G114" s="239"/>
      <c r="H114" s="239"/>
    </row>
    <row r="115" spans="1:8" x14ac:dyDescent="0.25">
      <c r="B115" s="239"/>
      <c r="C115" s="239"/>
      <c r="D115" s="239"/>
      <c r="E115" s="239"/>
      <c r="F115" s="239"/>
      <c r="G115" s="239"/>
      <c r="H115" s="239"/>
    </row>
    <row r="116" spans="1:8" x14ac:dyDescent="0.25">
      <c r="B116" s="239"/>
      <c r="C116" s="239"/>
      <c r="D116" s="239"/>
      <c r="E116" s="239"/>
      <c r="F116" s="239"/>
      <c r="G116" s="239"/>
      <c r="H116" s="239"/>
    </row>
    <row r="117" spans="1:8" x14ac:dyDescent="0.25">
      <c r="B117" s="395" t="str">
        <f>Summary!B329</f>
        <v>Step and column costs applied to salary and benefit cost increases.</v>
      </c>
      <c r="C117" s="396"/>
      <c r="D117" s="396"/>
      <c r="E117" s="396"/>
      <c r="F117" s="396"/>
      <c r="G117" s="396"/>
      <c r="H117" s="397"/>
    </row>
    <row r="118" spans="1:8" x14ac:dyDescent="0.25">
      <c r="B118" s="398"/>
      <c r="C118" s="399"/>
      <c r="D118" s="399"/>
      <c r="E118" s="399"/>
      <c r="F118" s="399"/>
      <c r="G118" s="399"/>
      <c r="H118" s="400"/>
    </row>
    <row r="119" spans="1:8" x14ac:dyDescent="0.25">
      <c r="B119" s="398"/>
      <c r="C119" s="399"/>
      <c r="D119" s="399"/>
      <c r="E119" s="399"/>
      <c r="F119" s="399"/>
      <c r="G119" s="399"/>
      <c r="H119" s="400"/>
    </row>
    <row r="120" spans="1:8" x14ac:dyDescent="0.25">
      <c r="B120" s="401"/>
      <c r="C120" s="402"/>
      <c r="D120" s="402"/>
      <c r="E120" s="402"/>
      <c r="F120" s="402"/>
      <c r="G120" s="402"/>
      <c r="H120" s="403"/>
    </row>
    <row r="121" spans="1:8" ht="7.5" customHeight="1" x14ac:dyDescent="0.25">
      <c r="B121" s="39"/>
    </row>
    <row r="122" spans="1:8" ht="7.5" customHeight="1" x14ac:dyDescent="0.25">
      <c r="B122" s="39"/>
    </row>
    <row r="123" spans="1:8" ht="13" x14ac:dyDescent="0.3">
      <c r="A123" t="s">
        <v>104</v>
      </c>
      <c r="B123" s="9" t="s">
        <v>105</v>
      </c>
    </row>
    <row r="124" spans="1:8" x14ac:dyDescent="0.25">
      <c r="B124" s="395" t="str">
        <f>(Summary!B337)</f>
        <v>Effective July 1, 2023, a 11.0% increase will be applied to all ASTA salary schedules.  In addition, the district will provide a one-time off schedule payment of $1,500 for all ASTA employees in active status as of 08/01/2023 and pro-rated per full-time equivalent (FTE).  Additionally the health and welfare contribution cap will increase by $2,000 to $20,500.</v>
      </c>
      <c r="C124" s="396"/>
      <c r="D124" s="396"/>
      <c r="E124" s="396"/>
      <c r="F124" s="396"/>
      <c r="G124" s="396"/>
      <c r="H124" s="397"/>
    </row>
    <row r="125" spans="1:8" x14ac:dyDescent="0.25">
      <c r="B125" s="398"/>
      <c r="C125" s="399"/>
      <c r="D125" s="399"/>
      <c r="E125" s="399"/>
      <c r="F125" s="399"/>
      <c r="G125" s="399"/>
      <c r="H125" s="400"/>
    </row>
    <row r="126" spans="1:8" x14ac:dyDescent="0.25">
      <c r="B126" s="398"/>
      <c r="C126" s="399"/>
      <c r="D126" s="399"/>
      <c r="E126" s="399"/>
      <c r="F126" s="399"/>
      <c r="G126" s="399"/>
      <c r="H126" s="400"/>
    </row>
    <row r="127" spans="1:8" x14ac:dyDescent="0.25">
      <c r="B127" s="401"/>
      <c r="C127" s="402"/>
      <c r="D127" s="402"/>
      <c r="E127" s="402"/>
      <c r="F127" s="402"/>
      <c r="G127" s="402"/>
      <c r="H127" s="403"/>
    </row>
    <row r="128" spans="1:8" x14ac:dyDescent="0.25">
      <c r="B128" s="10"/>
      <c r="C128" s="10"/>
      <c r="D128" s="10"/>
      <c r="E128" s="10"/>
      <c r="F128" s="10"/>
      <c r="G128" s="10"/>
      <c r="H128" s="10"/>
    </row>
    <row r="129" spans="1:8" ht="7.5" customHeight="1" x14ac:dyDescent="0.25">
      <c r="B129" s="39"/>
    </row>
    <row r="130" spans="1:8" ht="13" x14ac:dyDescent="0.3">
      <c r="A130" t="s">
        <v>115</v>
      </c>
      <c r="B130" s="9" t="s">
        <v>35</v>
      </c>
    </row>
    <row r="131" spans="1:8" ht="4.5" customHeight="1" x14ac:dyDescent="0.3">
      <c r="B131" s="9"/>
    </row>
    <row r="132" spans="1:8" ht="13" x14ac:dyDescent="0.3">
      <c r="B132" s="9" t="s">
        <v>57</v>
      </c>
    </row>
    <row r="133" spans="1:8" x14ac:dyDescent="0.25">
      <c r="B133" s="395" t="str">
        <f>Summary!B345</f>
        <v>District ongoing LCFF funding will be used to fund this agreement in the current and future years.</v>
      </c>
      <c r="C133" s="396"/>
      <c r="D133" s="396"/>
      <c r="E133" s="396"/>
      <c r="F133" s="396"/>
      <c r="G133" s="396"/>
      <c r="H133" s="397"/>
    </row>
    <row r="134" spans="1:8" x14ac:dyDescent="0.25">
      <c r="B134" s="398"/>
      <c r="C134" s="399"/>
      <c r="D134" s="399"/>
      <c r="E134" s="399"/>
      <c r="F134" s="399"/>
      <c r="G134" s="399"/>
      <c r="H134" s="400"/>
    </row>
    <row r="135" spans="1:8" x14ac:dyDescent="0.25">
      <c r="B135" s="398"/>
      <c r="C135" s="399"/>
      <c r="D135" s="399"/>
      <c r="E135" s="399"/>
      <c r="F135" s="399"/>
      <c r="G135" s="399"/>
      <c r="H135" s="400"/>
    </row>
    <row r="136" spans="1:8" x14ac:dyDescent="0.25">
      <c r="B136" s="401"/>
      <c r="C136" s="402"/>
      <c r="D136" s="402"/>
      <c r="E136" s="402"/>
      <c r="F136" s="402"/>
      <c r="G136" s="402"/>
      <c r="H136" s="403"/>
    </row>
    <row r="137" spans="1:8" x14ac:dyDescent="0.25">
      <c r="B137" s="10"/>
      <c r="C137" s="10"/>
      <c r="D137" s="10"/>
      <c r="E137" s="10"/>
      <c r="F137" s="10"/>
      <c r="G137" s="10"/>
      <c r="H137" s="10"/>
    </row>
    <row r="138" spans="1:8" ht="4.5" customHeight="1" x14ac:dyDescent="0.25"/>
    <row r="139" spans="1:8" ht="7.5" customHeight="1" x14ac:dyDescent="0.25"/>
    <row r="140" spans="1:8" ht="13" x14ac:dyDescent="0.3">
      <c r="A140" s="211" t="s">
        <v>59</v>
      </c>
      <c r="B140" s="212"/>
      <c r="C140" s="212"/>
      <c r="D140" s="212"/>
      <c r="E140" s="212"/>
      <c r="F140" s="212"/>
      <c r="G140" s="212"/>
      <c r="H140" s="213"/>
    </row>
    <row r="141" spans="1:8" ht="5.25" customHeight="1" x14ac:dyDescent="0.25">
      <c r="A141" s="5"/>
      <c r="H141" s="6"/>
    </row>
    <row r="142" spans="1:8" ht="24" customHeight="1" x14ac:dyDescent="0.3">
      <c r="A142" s="386" t="s">
        <v>106</v>
      </c>
      <c r="B142" s="387"/>
      <c r="C142" s="387"/>
      <c r="D142" s="387"/>
      <c r="E142" s="387"/>
      <c r="F142" s="387"/>
      <c r="G142" s="387"/>
      <c r="H142" s="388"/>
    </row>
    <row r="143" spans="1:8" ht="13.15" customHeight="1" x14ac:dyDescent="0.3">
      <c r="A143" s="130"/>
      <c r="B143" s="137"/>
      <c r="C143" s="137"/>
      <c r="D143" s="137"/>
      <c r="E143" s="137"/>
      <c r="F143" s="137"/>
      <c r="G143" s="137"/>
      <c r="H143" s="138"/>
    </row>
    <row r="144" spans="1:8" ht="39" customHeight="1" x14ac:dyDescent="0.3">
      <c r="A144" s="386" t="str">
        <f>Summary!A387</f>
        <v>Districts with a Qualified or Negative Certification: Per Govenment Code 3540.2, signatures of the District Superintendent and Chief Business Official must accompany the Summary Disclosure sent to the County Superintendent for review 10 days prior to the board meeting that will ratify the agreement.</v>
      </c>
      <c r="B144" s="387"/>
      <c r="C144" s="387"/>
      <c r="D144" s="387"/>
      <c r="E144" s="387"/>
      <c r="F144" s="387"/>
      <c r="G144" s="387"/>
      <c r="H144" s="388"/>
    </row>
    <row r="145" spans="1:8" s="52" customFormat="1" ht="13.15" customHeight="1" x14ac:dyDescent="0.25">
      <c r="A145" s="445" t="s">
        <v>281</v>
      </c>
      <c r="B145" s="446"/>
      <c r="C145" s="446"/>
      <c r="D145" s="446"/>
      <c r="E145" s="446"/>
      <c r="F145" s="446"/>
      <c r="G145" s="446"/>
      <c r="H145" s="447"/>
    </row>
    <row r="146" spans="1:8" s="52" customFormat="1" x14ac:dyDescent="0.25">
      <c r="A146" s="445"/>
      <c r="B146" s="446"/>
      <c r="C146" s="446"/>
      <c r="D146" s="446"/>
      <c r="E146" s="446"/>
      <c r="F146" s="446"/>
      <c r="G146" s="446"/>
      <c r="H146" s="447"/>
    </row>
    <row r="147" spans="1:8" s="52" customFormat="1" x14ac:dyDescent="0.25">
      <c r="A147" s="448"/>
      <c r="B147" s="449"/>
      <c r="C147" s="449"/>
      <c r="D147" s="449"/>
      <c r="E147" s="449"/>
      <c r="F147" s="449"/>
      <c r="G147" s="449"/>
      <c r="H147" s="450"/>
    </row>
    <row r="148" spans="1:8" ht="30" customHeight="1" x14ac:dyDescent="0.25">
      <c r="A148" s="451" t="s">
        <v>205</v>
      </c>
      <c r="B148" s="452"/>
      <c r="C148" s="452"/>
      <c r="D148" s="452"/>
      <c r="E148" s="452"/>
      <c r="F148" s="452"/>
      <c r="G148" s="452"/>
      <c r="H148" s="453"/>
    </row>
    <row r="149" spans="1:8" ht="6.75" customHeight="1" x14ac:dyDescent="0.25">
      <c r="A149" s="5"/>
      <c r="H149" s="6"/>
    </row>
    <row r="150" spans="1:8" ht="19.5" customHeight="1" x14ac:dyDescent="0.25">
      <c r="A150" s="7"/>
      <c r="B150" s="8"/>
      <c r="C150" s="8"/>
      <c r="D150" s="8"/>
      <c r="E150" s="8"/>
      <c r="G150" s="442">
        <f>Summary!G397</f>
        <v>0</v>
      </c>
      <c r="H150" s="443"/>
    </row>
    <row r="151" spans="1:8" ht="13" x14ac:dyDescent="0.3">
      <c r="A151" s="444" t="s">
        <v>197</v>
      </c>
      <c r="B151" s="375"/>
      <c r="C151" s="375"/>
      <c r="D151" s="375"/>
      <c r="E151" s="375"/>
      <c r="G151" s="439" t="s">
        <v>61</v>
      </c>
      <c r="H151" s="440"/>
    </row>
    <row r="152" spans="1:8" ht="24.75" customHeight="1" x14ac:dyDescent="0.25">
      <c r="A152" s="7"/>
      <c r="B152" s="8"/>
      <c r="C152" s="8"/>
      <c r="D152" s="8"/>
      <c r="E152" s="8"/>
      <c r="G152" s="442">
        <f>Summary!G399</f>
        <v>0</v>
      </c>
      <c r="H152" s="443"/>
    </row>
    <row r="153" spans="1:8" ht="13" x14ac:dyDescent="0.3">
      <c r="A153" s="444" t="s">
        <v>198</v>
      </c>
      <c r="B153" s="375"/>
      <c r="C153" s="375"/>
      <c r="D153" s="375"/>
      <c r="E153" s="375"/>
      <c r="G153" s="375" t="s">
        <v>61</v>
      </c>
      <c r="H153" s="441"/>
    </row>
    <row r="154" spans="1:8" s="54" customFormat="1" ht="10" x14ac:dyDescent="0.2">
      <c r="A154" s="145"/>
      <c r="B154" s="146"/>
      <c r="C154" s="146"/>
      <c r="D154" s="146"/>
      <c r="E154" s="147"/>
      <c r="F154" s="55"/>
      <c r="G154" s="55"/>
      <c r="H154" s="56"/>
    </row>
    <row r="155" spans="1:8" ht="8.25" customHeight="1" x14ac:dyDescent="0.3">
      <c r="A155" s="148"/>
      <c r="B155" s="139"/>
      <c r="C155" s="139"/>
      <c r="D155" s="139"/>
      <c r="E155" s="139"/>
      <c r="F155" s="139"/>
      <c r="G155" s="139"/>
      <c r="H155" s="140"/>
    </row>
    <row r="156" spans="1:8" ht="13" x14ac:dyDescent="0.3">
      <c r="A156" s="29" t="s">
        <v>187</v>
      </c>
      <c r="B156" s="10"/>
      <c r="C156" s="10"/>
      <c r="D156" s="10"/>
      <c r="E156" s="10"/>
      <c r="F156" s="10"/>
      <c r="G156" s="10"/>
      <c r="H156" s="18"/>
    </row>
    <row r="157" spans="1:8" ht="13" x14ac:dyDescent="0.3">
      <c r="A157" s="29" t="s">
        <v>188</v>
      </c>
      <c r="B157" s="12"/>
      <c r="C157" s="384">
        <f>Summary!A403</f>
        <v>45203</v>
      </c>
      <c r="D157" s="384"/>
      <c r="E157" s="384"/>
      <c r="F157" s="12" t="s">
        <v>189</v>
      </c>
      <c r="H157" s="6"/>
    </row>
    <row r="158" spans="1:8" ht="6.75" customHeight="1" x14ac:dyDescent="0.25">
      <c r="A158" s="5"/>
      <c r="H158" s="6"/>
    </row>
    <row r="159" spans="1:8" ht="13" x14ac:dyDescent="0.3">
      <c r="A159" s="29" t="s">
        <v>0</v>
      </c>
      <c r="B159" s="385" t="str">
        <f>Summary!C10</f>
        <v>Any School Teacher's Association</v>
      </c>
      <c r="C159" s="385"/>
      <c r="D159" s="385"/>
      <c r="E159" s="385"/>
      <c r="F159" s="385"/>
      <c r="G159" s="12" t="s">
        <v>164</v>
      </c>
      <c r="H159" s="6"/>
    </row>
    <row r="160" spans="1:8" ht="8.25" customHeight="1" x14ac:dyDescent="0.25">
      <c r="A160" s="5"/>
      <c r="H160" s="6"/>
    </row>
    <row r="161" spans="1:8" ht="20.25" customHeight="1" x14ac:dyDescent="0.25">
      <c r="A161" s="7"/>
      <c r="B161" s="8"/>
      <c r="C161" s="8"/>
      <c r="D161" s="8"/>
      <c r="E161" s="8"/>
      <c r="G161" s="442">
        <f>Summary!G406</f>
        <v>0</v>
      </c>
      <c r="H161" s="443"/>
    </row>
    <row r="162" spans="1:8" ht="13" x14ac:dyDescent="0.3">
      <c r="A162" s="444" t="s">
        <v>62</v>
      </c>
      <c r="B162" s="375"/>
      <c r="C162" s="375"/>
      <c r="D162" s="375"/>
      <c r="E162" s="375"/>
      <c r="G162" s="375" t="s">
        <v>61</v>
      </c>
      <c r="H162" s="441"/>
    </row>
    <row r="163" spans="1:8" s="54" customFormat="1" ht="10" x14ac:dyDescent="0.2">
      <c r="A163" s="437" t="s">
        <v>60</v>
      </c>
      <c r="B163" s="438"/>
      <c r="C163" s="438"/>
      <c r="D163" s="438"/>
      <c r="E163" s="438"/>
      <c r="F163" s="55"/>
      <c r="G163" s="55"/>
      <c r="H163" s="56"/>
    </row>
  </sheetData>
  <sheetProtection formatCells="0" formatColumns="0" formatRows="0" insertColumns="0" insertRows="0" insertHyperlinks="0" deleteColumns="0" deleteRows="0" sort="0" autoFilter="0" pivotTables="0"/>
  <mergeCells count="65">
    <mergeCell ref="A163:E163"/>
    <mergeCell ref="G151:H151"/>
    <mergeCell ref="G153:H153"/>
    <mergeCell ref="G162:H162"/>
    <mergeCell ref="B59:H60"/>
    <mergeCell ref="B80:H81"/>
    <mergeCell ref="G150:H150"/>
    <mergeCell ref="G152:H152"/>
    <mergeCell ref="G161:H161"/>
    <mergeCell ref="A144:H144"/>
    <mergeCell ref="A162:E162"/>
    <mergeCell ref="A145:H147"/>
    <mergeCell ref="A148:H148"/>
    <mergeCell ref="A151:E151"/>
    <mergeCell ref="A153:E153"/>
    <mergeCell ref="B133:H136"/>
    <mergeCell ref="A13:H14"/>
    <mergeCell ref="A17:H17"/>
    <mergeCell ref="A18:H18"/>
    <mergeCell ref="G21:H21"/>
    <mergeCell ref="G64:H64"/>
    <mergeCell ref="C19:F19"/>
    <mergeCell ref="G30:H30"/>
    <mergeCell ref="G32:H32"/>
    <mergeCell ref="G24:H24"/>
    <mergeCell ref="G25:H25"/>
    <mergeCell ref="G34:H34"/>
    <mergeCell ref="G36:H36"/>
    <mergeCell ref="G26:H26"/>
    <mergeCell ref="G38:H38"/>
    <mergeCell ref="G54:H54"/>
    <mergeCell ref="G58:H58"/>
    <mergeCell ref="A1:H1"/>
    <mergeCell ref="A3:H3"/>
    <mergeCell ref="A2:H2"/>
    <mergeCell ref="A4:H4"/>
    <mergeCell ref="A8:H11"/>
    <mergeCell ref="C6:F6"/>
    <mergeCell ref="G56:H56"/>
    <mergeCell ref="G46:H46"/>
    <mergeCell ref="B41:H42"/>
    <mergeCell ref="G91:H91"/>
    <mergeCell ref="G62:H62"/>
    <mergeCell ref="G45:H45"/>
    <mergeCell ref="G49:H49"/>
    <mergeCell ref="G52:H52"/>
    <mergeCell ref="C58:F58"/>
    <mergeCell ref="G76:H76"/>
    <mergeCell ref="G78:H78"/>
    <mergeCell ref="C157:E157"/>
    <mergeCell ref="B159:F159"/>
    <mergeCell ref="A140:H140"/>
    <mergeCell ref="A142:H142"/>
    <mergeCell ref="G66:H66"/>
    <mergeCell ref="G73:H73"/>
    <mergeCell ref="G86:H86"/>
    <mergeCell ref="G89:H89"/>
    <mergeCell ref="B108:H111"/>
    <mergeCell ref="B114:H116"/>
    <mergeCell ref="B117:H120"/>
    <mergeCell ref="B124:H127"/>
    <mergeCell ref="G101:H101"/>
    <mergeCell ref="G103:H103"/>
    <mergeCell ref="G97:H97"/>
    <mergeCell ref="G105:H105"/>
  </mergeCells>
  <phoneticPr fontId="0" type="noConversion"/>
  <printOptions horizontalCentered="1"/>
  <pageMargins left="0.27" right="0.17" top="0.18" bottom="0.48" header="0.94" footer="0.17"/>
  <pageSetup scale="99" fitToHeight="0" orientation="portrait" r:id="rId1"/>
  <headerFooter alignWithMargins="0">
    <oddFooter xml:space="preserve">&amp;L&amp;"Arial,Italic"&amp;8&amp;D&amp;T&amp;C&amp;"Arial,Italic"&amp;8
&amp;P of &amp;N&amp;R&amp;"Arial,Italic"&amp;8&amp;Z&amp;F 
</oddFooter>
  </headerFooter>
  <rowBreaks count="3" manualBreakCount="3">
    <brk id="58" max="16383" man="1"/>
    <brk id="105" max="16383" man="1"/>
    <brk id="1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Category xmlns="1836095c-a8e1-4e39-a688-07b849484023">Fiscal Oversight Training</Sub_x0020_Category>
    <Posted_x0020_Date xmlns="1836095c-a8e1-4e39-a688-07b849484023">2023-06-30T07:00:00+00:00</Posted_x0020_Date>
    <File_x0020_Name xmlns="1836095c-a8e1-4e39-a688-07b849484023" xsi:nil="true"/>
    <URL xmlns="1836095c-a8e1-4e39-a688-07b849484023" xsi:nil="true"/>
    <Category xmlns="1836095c-a8e1-4e39-a688-07b849484023">Other Resources</Category>
    <Year xmlns="1836095c-a8e1-4e39-a688-07b849484023">2023</Year>
    <TaxKeywordTaxHTField xmlns="2764f696-ee76-49e1-8758-169b4b8d5a2f">
      <Terms xmlns="http://schemas.microsoft.com/office/infopath/2007/PartnerControls"/>
    </TaxKeywordTaxHTField>
    <File_x0020_Content xmlns="1836095c-a8e1-4e39-a688-07b849484023" xsi:nil="true"/>
    <Plan xmlns="1836095c-a8e1-4e39-a688-07b849484023" xsi:nil="true"/>
    <TaxCatchAll xmlns="2764f696-ee76-49e1-8758-169b4b8d5a2f" xsi:nil="true"/>
    <_dlc_DocId xmlns="2764f696-ee76-49e1-8758-169b4b8d5a2f">D2A6QJZ574UD-1676105008-4412</_dlc_DocId>
    <_dlc_DocIdUrl xmlns="2764f696-ee76-49e1-8758-169b4b8d5a2f">
      <Url>https://fcmat2.sharepoint.com/sites/fcmat/_layouts/15/DocIdRedir.aspx?ID=D2A6QJZ574UD-1676105008-4412</Url>
      <Description>D2A6QJZ574UD-1676105008-4412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 ma:contentTypeID="0x010100FADBEFB1D77F884597487478E3A3DB2F" ma:contentTypeVersion="65" ma:contentTypeDescription="Create a new document." ma:contentTypeScope="" ma:versionID="ab5de79d2411beff157395c7f24f6b41">
  <xsd:schema xmlns:xsd="http://www.w3.org/2001/XMLSchema" xmlns:xs="http://www.w3.org/2001/XMLSchema" xmlns:p="http://schemas.microsoft.com/office/2006/metadata/properties" xmlns:ns1="1836095c-a8e1-4e39-a688-07b849484023" xmlns:ns3="2764f696-ee76-49e1-8758-169b4b8d5a2f" targetNamespace="http://schemas.microsoft.com/office/2006/metadata/properties" ma:root="true" ma:fieldsID="5e7f5fa6770bad5d3c8dbc9aa617a5c3" ns1:_="" ns3:_="">
    <xsd:import namespace="1836095c-a8e1-4e39-a688-07b849484023"/>
    <xsd:import namespace="2764f696-ee76-49e1-8758-169b4b8d5a2f"/>
    <xsd:element name="properties">
      <xsd:complexType>
        <xsd:sequence>
          <xsd:element name="documentManagement">
            <xsd:complexType>
              <xsd:all>
                <xsd:element ref="ns1:Posted_x0020_Date" minOccurs="0"/>
                <xsd:element ref="ns1:File_x0020_Name" minOccurs="0"/>
                <xsd:element ref="ns1:File_x0020_Content" minOccurs="0"/>
                <xsd:element ref="ns1:Category"/>
                <xsd:element ref="ns1:Sub_x0020_Category" minOccurs="0"/>
                <xsd:element ref="ns1:Year" minOccurs="0"/>
                <xsd:element ref="ns1:Plan" minOccurs="0"/>
                <xsd:element ref="ns1:MediaServiceMetadata" minOccurs="0"/>
                <xsd:element ref="ns1:MediaServiceFastMetadata" minOccurs="0"/>
                <xsd:element ref="ns1:MediaServiceAutoTags" minOccurs="0"/>
                <xsd:element ref="ns1:MediaServiceOCR" minOccurs="0"/>
                <xsd:element ref="ns1:MediaServiceGenerationTime" minOccurs="0"/>
                <xsd:element ref="ns1:MediaServiceEventHashCode" minOccurs="0"/>
                <xsd:element ref="ns3:TaxCatchAll" minOccurs="0"/>
                <xsd:element ref="ns1:MediaServiceAutoKeyPoints" minOccurs="0"/>
                <xsd:element ref="ns1:MediaServiceKeyPoints" minOccurs="0"/>
                <xsd:element ref="ns3:_dlc_DocId" minOccurs="0"/>
                <xsd:element ref="ns3:_dlc_DocIdUrl" minOccurs="0"/>
                <xsd:element ref="ns3:_dlc_DocIdPersistId" minOccurs="0"/>
                <xsd:element ref="ns3:TaxKeywordTaxHTField" minOccurs="0"/>
                <xsd:element ref="ns1:URL" minOccurs="0"/>
                <xsd:element ref="ns3:SharedWithUsers" minOccurs="0"/>
                <xsd:element ref="ns3:SharedWithDetail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6095c-a8e1-4e39-a688-07b849484023" elementFormDefault="qualified">
    <xsd:import namespace="http://schemas.microsoft.com/office/2006/documentManagement/types"/>
    <xsd:import namespace="http://schemas.microsoft.com/office/infopath/2007/PartnerControls"/>
    <xsd:element name="Posted_x0020_Date" ma:index="0" nillable="true" ma:displayName="Posted Date" ma:default="[today]" ma:format="DateOnly" ma:internalName="Posted_x0020_Date">
      <xsd:simpleType>
        <xsd:restriction base="dms:DateTime"/>
      </xsd:simpleType>
    </xsd:element>
    <xsd:element name="File_x0020_Name" ma:index="2" nillable="true" ma:displayName="Title Of Document" ma:indexed="true" ma:internalName="File_x0020_Name">
      <xsd:simpleType>
        <xsd:restriction base="dms:Text">
          <xsd:maxLength value="255"/>
        </xsd:restriction>
      </xsd:simpleType>
    </xsd:element>
    <xsd:element name="File_x0020_Content" ma:index="3" nillable="true" ma:displayName="Content Of Document" ma:indexed="true" ma:internalName="File_x0020_Content">
      <xsd:simpleType>
        <xsd:restriction base="dms:Text">
          <xsd:maxLength value="255"/>
        </xsd:restriction>
      </xsd:simpleType>
    </xsd:element>
    <xsd:element name="Category" ma:index="4" ma:displayName="Category" ma:format="Dropdown" ma:indexed="true" ma:internalName="Category">
      <xsd:simpleType>
        <xsd:restriction base="dms:Choice">
          <xsd:enumeration value="Fiscal Documents"/>
          <xsd:enumeration value="Manuals"/>
          <xsd:enumeration value="FCMAT Reports"/>
          <xsd:enumeration value="Other Resources"/>
        </xsd:restriction>
      </xsd:simpleType>
    </xsd:element>
    <xsd:element name="Sub_x0020_Category" ma:index="5" nillable="true" ma:displayName="Sub Category" ma:format="Dropdown" ma:indexed="true" ma:internalName="Sub_x0020_Category">
      <xsd:simpleType>
        <xsd:restriction base="dms:Choice">
          <xsd:enumeration value="Certification of Budget Charts"/>
          <xsd:enumeration value="County Office Of Education(COE) Reimbursement Information"/>
          <xsd:enumeration value="Disclosure of Proposed Collective Bargaining Agreement"/>
          <xsd:enumeration value="FCMAT Alerts"/>
          <xsd:enumeration value="Annual Reports 2004 – Current"/>
          <xsd:enumeration value="Non-Voter-Approved Debt"/>
          <xsd:enumeration value="Standards for Comprehensive Reviews"/>
          <xsd:enumeration value="State Emergency Allocations to School Districts"/>
          <xsd:enumeration value="County Office Of Education(COE) Fiscal Procedural Manual"/>
          <xsd:enumeration value="ASB Accounting Manual, Fraud Prevention Guide and Desk Reference"/>
          <xsd:enumeration value="Fiscal Oversight Guide"/>
          <xsd:enumeration value="CCSESA Local Control and Accountability(LCAP) Appoval Manual"/>
          <xsd:enumeration value="California Charter School Accounting and Best Practices Manual"/>
          <xsd:enumeration value="K-12 Management Assistance Reports"/>
          <xsd:enumeration value="Extraordinary Audits"/>
          <xsd:enumeration value="Comprehensive Assessments Recovery Plans and Special Legislative Assignments"/>
          <xsd:enumeration value="Community College District Reports"/>
          <xsd:enumeration value="About FCMAT"/>
          <xsd:enumeration value="Annual Reports"/>
          <xsd:enumeration value="CBO Mentor Program"/>
          <xsd:enumeration value="FCMAT Featured Presentations"/>
          <xsd:enumeration value="FCMAT Workshops"/>
          <xsd:enumeration value="Fiscal Oversight Training"/>
          <xsd:enumeration value="Fiscal Tools"/>
          <xsd:enumeration value="Miscellaneous"/>
        </xsd:restriction>
      </xsd:simpleType>
    </xsd:element>
    <xsd:element name="Year" ma:index="6" nillable="true" ma:displayName="Year" ma:default="2022" ma:format="Dropdown" ma:indexed="true"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lan" ma:index="7" nillable="true" ma:displayName="Plan" ma:format="Dropdown" ma:indexed="true" ma:internalName="Plan">
      <xsd:simpleType>
        <xsd:union memberTypes="dms:Text">
          <xsd:simpleType>
            <xsd:restriction base="dms:Choice">
              <xsd:enumeration value="Berkeley USD Comprehensive Improvement Plan"/>
              <xsd:enumeration value="City College of San Francisco Comprehensive Fiscal Assessment"/>
              <xsd:enumeration value="Compton Community College Comprehensive Assessment"/>
              <xsd:enumeration value="Compton USD AB52 Assessment and Recovery Plans"/>
              <xsd:enumeration value="Emery USD Comprehensive Fiscal Assessment"/>
              <xsd:enumeration value="Oakland USD Comprehensive Assessment and Recovery Plans"/>
              <xsd:enumeration value="SFUSD Comprehensive Fiscal Assessment"/>
              <xsd:enumeration value="South Monterey County-King City Joint Union HSD Comprehensive Assessment"/>
              <xsd:enumeration value="Vallejo USD Comprehensive Assessment"/>
              <xsd:enumeration value="West Contra Costa USD Comprehensive Assessment"/>
              <xsd:enumeration value="West Fresno ESD Comprehensive Assessment"/>
              <xsd:enumeration value="Inglewood USD Comprehensive Assessment"/>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description="" ma:indexed="true"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URL" ma:index="30" nillable="true" ma:displayName="URL" ma:internalName="URL">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c45a01-2305-439b-93c5-38d7745d7b02}" ma:internalName="TaxCatchAll" ma:showField="CatchAllData" ma:web="2764f696-ee76-49e1-8758-169b4b8d5a2f">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KeywordTaxHTField" ma:index="29" nillable="true" ma:taxonomy="true" ma:internalName="TaxKeywordTaxHTField" ma:taxonomyFieldName="TaxKeyword" ma:displayName="Enterprise Keywords" ma:fieldId="{23f27201-bee3-471e-b2e7-b64fd8b7ca38}" ma:taxonomyMulti="true" ma:sspId="1b82fea1-4d98-495d-a884-8664ed378d29" ma:termSetId="00000000-0000-0000-0000-000000000000" ma:anchorId="00000000-0000-0000-0000-000000000000" ma:open="true" ma:isKeyword="tru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33AA92-3BE7-4EA3-ABCB-ECF9980EDC57}">
  <ds:schemaRefs>
    <ds:schemaRef ds:uri="http://schemas.microsoft.com/office/2006/metadata/properties"/>
    <ds:schemaRef ds:uri="http://schemas.microsoft.com/office/infopath/2007/PartnerControls"/>
    <ds:schemaRef ds:uri="1836095c-a8e1-4e39-a688-07b849484023"/>
    <ds:schemaRef ds:uri="2764f696-ee76-49e1-8758-169b4b8d5a2f"/>
  </ds:schemaRefs>
</ds:datastoreItem>
</file>

<file path=customXml/itemProps2.xml><?xml version="1.0" encoding="utf-8"?>
<ds:datastoreItem xmlns:ds="http://schemas.openxmlformats.org/officeDocument/2006/customXml" ds:itemID="{CD856570-909B-4E84-9D17-6596F73B9CF3}">
  <ds:schemaRefs>
    <ds:schemaRef ds:uri="http://schemas.microsoft.com/sharepoint/v3/contenttype/forms"/>
  </ds:schemaRefs>
</ds:datastoreItem>
</file>

<file path=customXml/itemProps3.xml><?xml version="1.0" encoding="utf-8"?>
<ds:datastoreItem xmlns:ds="http://schemas.openxmlformats.org/officeDocument/2006/customXml" ds:itemID="{DDB66E92-A62B-4046-9F03-8B28624BFD6E}">
  <ds:schemaRefs>
    <ds:schemaRef ds:uri="http://schemas.microsoft.com/sharepoint/events"/>
  </ds:schemaRefs>
</ds:datastoreItem>
</file>

<file path=customXml/itemProps4.xml><?xml version="1.0" encoding="utf-8"?>
<ds:datastoreItem xmlns:ds="http://schemas.openxmlformats.org/officeDocument/2006/customXml" ds:itemID="{FE8F9B92-13E3-407A-8352-716CBC81D014}">
  <ds:schemaRefs>
    <ds:schemaRef ds:uri="http://schemas.microsoft.com/office/2006/metadata/customXsn"/>
  </ds:schemaRefs>
</ds:datastoreItem>
</file>

<file path=customXml/itemProps5.xml><?xml version="1.0" encoding="utf-8"?>
<ds:datastoreItem xmlns:ds="http://schemas.openxmlformats.org/officeDocument/2006/customXml" ds:itemID="{FB2F499E-209A-4FB9-BF80-1BD79A63A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Disclosure</vt:lpstr>
      <vt:lpstr>Summary!Print_Area</vt:lpstr>
      <vt:lpstr>Disclosure!Print_Titles</vt:lpstr>
      <vt:lpstr>Summary!Print_Titles</vt:lpstr>
    </vt:vector>
  </TitlesOfParts>
  <Company>SBCSS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Business Advisory SBCSS</dc:creator>
  <cp:keywords/>
  <cp:lastModifiedBy>Charisse Wilson</cp:lastModifiedBy>
  <cp:lastPrinted>2020-09-22T00:04:17Z</cp:lastPrinted>
  <dcterms:created xsi:type="dcterms:W3CDTF">2000-04-21T16:45:47Z</dcterms:created>
  <dcterms:modified xsi:type="dcterms:W3CDTF">2023-07-25T19:29:33Z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0x010100FADBEFB1D77F884597487478E3A3DB2F</vt:lpwstr>
  </property>
  <property fmtid="{D5CDD505-2E9C-101B-9397-08002B2CF9AE}" pid="3" name="_dlc_DocIdItemGuid">
    <vt:lpwstr>51207463-ddd4-46c2-85b5-a63e181101d3</vt:lpwstr>
  </property>
  <property fmtid="{D5CDD505-2E9C-101B-9397-08002B2CF9AE}" pid="4" name="TaxKeyword">
    <vt:lpwstr/>
  </property>
</Properties>
</file>